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830" windowHeight="10155" tabRatio="633" activeTab="0"/>
  </bookViews>
  <sheets>
    <sheet name="Disclaimer and instructions" sheetId="1" r:id="rId1"/>
    <sheet name="Sum A" sheetId="2" r:id="rId2"/>
    <sheet name="Sum B Stage 1" sheetId="3" r:id="rId3"/>
    <sheet name="Sum B Stage 2" sheetId="4" r:id="rId4"/>
    <sheet name="Sum B Stage 3" sheetId="5" r:id="rId5"/>
    <sheet name="Sum B Stage 4" sheetId="6" r:id="rId6"/>
    <sheet name="Sum C" sheetId="7" r:id="rId7"/>
    <sheet name="Total Commuted Sum" sheetId="8" r:id="rId8"/>
    <sheet name="Sheet1" sheetId="9" r:id="rId9"/>
    <sheet name="Sheet2" sheetId="10" r:id="rId10"/>
  </sheets>
  <definedNames>
    <definedName name="periods">'Sheet1'!$A$1:$A$3</definedName>
  </definedNames>
  <calcPr fullCalcOnLoad="1"/>
</workbook>
</file>

<file path=xl/sharedStrings.xml><?xml version="1.0" encoding="utf-8"?>
<sst xmlns="http://schemas.openxmlformats.org/spreadsheetml/2006/main" count="298" uniqueCount="157">
  <si>
    <t>£</t>
  </si>
  <si>
    <t>Strategic Highway Route</t>
  </si>
  <si>
    <t>Commercial Development Route</t>
  </si>
  <si>
    <t>Replacement due (years)</t>
  </si>
  <si>
    <t>Sum A Total</t>
  </si>
  <si>
    <t>First Replacement</t>
  </si>
  <si>
    <t>Second Replacment</t>
  </si>
  <si>
    <t>Third Replacement</t>
  </si>
  <si>
    <t>Included in Sum A</t>
  </si>
  <si>
    <t>Table A2</t>
  </si>
  <si>
    <t>Maintenance Activity in Connection with various structure elements</t>
  </si>
  <si>
    <t>Unit</t>
  </si>
  <si>
    <t>Unit Rate (£)</t>
  </si>
  <si>
    <t>Quantity</t>
  </si>
  <si>
    <t>Cycle Time to Maintenance Activity (years)</t>
  </si>
  <si>
    <t>Cost Each Occasion (£)
M</t>
  </si>
  <si>
    <t>Maintenance Sum (£) 
M x D</t>
  </si>
  <si>
    <t>Buried Foundations</t>
  </si>
  <si>
    <t>None</t>
  </si>
  <si>
    <t>Buried Piles</t>
  </si>
  <si>
    <t>Steel Sheet Piles</t>
  </si>
  <si>
    <t>Scour Monitoring</t>
  </si>
  <si>
    <t>Revetments (Under water):
Maintenance</t>
  </si>
  <si>
    <t>Bearings: Replacement</t>
  </si>
  <si>
    <t>Insitu Prestressed Concrete (Post Tensioned): Repairs</t>
  </si>
  <si>
    <t>Insitu Reinforced Concrete: Repairs</t>
  </si>
  <si>
    <t>Precast Prestressed Concrete (Pre Tensioned): Repairs</t>
  </si>
  <si>
    <t>Encased Steel: Repairs to Concrete</t>
  </si>
  <si>
    <t>Cathodic Protection: Installing, Maintenance and Monitoring</t>
  </si>
  <si>
    <t>Masonry: Repairs (stone/brick)</t>
  </si>
  <si>
    <t>Repainting Steel Beams and Gantries (including surface preparation)</t>
  </si>
  <si>
    <t>Finishes to Concrete: Repairs</t>
  </si>
  <si>
    <t>Waterproofing: Replacement</t>
  </si>
  <si>
    <t>Expansion Joint Replacement: 0 to 15m span</t>
  </si>
  <si>
    <t>Expansion Joint Replacement: 15 to 40m span</t>
  </si>
  <si>
    <t>Expansion Joint Replacement: over 40m span</t>
  </si>
  <si>
    <t>Parapet Maintenance: Concrete</t>
  </si>
  <si>
    <t>Parapet Maintenance: Steel</t>
  </si>
  <si>
    <t>Parapet Maintenance: Aluminium</t>
  </si>
  <si>
    <t>Parapet Maintenance: Masonry</t>
  </si>
  <si>
    <t>Timber Handrail: Maintenance</t>
  </si>
  <si>
    <t>Safety Fence: Maintenance</t>
  </si>
  <si>
    <t>Drainage: Maintenance (Routine Clearance and Occasional Component Replacement)</t>
  </si>
  <si>
    <t>Mechanical/Electrical Element: Annual Maintenance</t>
  </si>
  <si>
    <t>Mechanical/Electrical Element: Renewal of Component</t>
  </si>
  <si>
    <t>Corrugated Culvert: Maintenance</t>
  </si>
  <si>
    <t>Concrete Pipe</t>
  </si>
  <si>
    <t>Routine Inspections</t>
  </si>
  <si>
    <t>Environment: Any</t>
  </si>
  <si>
    <t>Environment: Moderate</t>
  </si>
  <si>
    <t>Environment: Severe</t>
  </si>
  <si>
    <t>Traffic: Moderate</t>
  </si>
  <si>
    <t>Traffic: High</t>
  </si>
  <si>
    <t>n/a</t>
  </si>
  <si>
    <t>item/year</t>
  </si>
  <si>
    <r>
      <t>m</t>
    </r>
    <r>
      <rPr>
        <vertAlign val="superscript"/>
        <sz val="10"/>
        <color indexed="8"/>
        <rFont val="Arial"/>
        <family val="2"/>
      </rPr>
      <t>2</t>
    </r>
  </si>
  <si>
    <t>m</t>
  </si>
  <si>
    <t>item</t>
  </si>
  <si>
    <t>specific to structure</t>
  </si>
  <si>
    <t>flood event</t>
  </si>
  <si>
    <t>Table B3</t>
  </si>
  <si>
    <t>Maintenance Interval</t>
  </si>
  <si>
    <t>Discount Factor Without Reconstruction</t>
  </si>
  <si>
    <t>Maintenance Interval (years)</t>
  </si>
  <si>
    <t>Discount Factor D (from Table B3)</t>
  </si>
  <si>
    <t>Table A3</t>
  </si>
  <si>
    <r>
      <t xml:space="preserve">The following Price Adjustment Factors can be applied as appropriate to </t>
    </r>
    <r>
      <rPr>
        <b/>
        <sz val="10"/>
        <color indexed="8"/>
        <rFont val="GreekC"/>
        <family val="0"/>
      </rPr>
      <t>S</t>
    </r>
    <r>
      <rPr>
        <b/>
        <sz val="10"/>
        <color indexed="8"/>
        <rFont val="Arial"/>
        <family val="2"/>
      </rPr>
      <t xml:space="preserve"> M x D</t>
    </r>
  </si>
  <si>
    <r>
      <t xml:space="preserve">Total net present value of cost of maintenance activities ( </t>
    </r>
    <r>
      <rPr>
        <b/>
        <sz val="10"/>
        <color indexed="8"/>
        <rFont val="GreekC"/>
        <family val="0"/>
      </rPr>
      <t>S</t>
    </r>
    <r>
      <rPr>
        <b/>
        <sz val="10"/>
        <color indexed="8"/>
        <rFont val="Arial"/>
        <family val="2"/>
      </rPr>
      <t xml:space="preserve"> M x D )</t>
    </r>
  </si>
  <si>
    <t>Factor</t>
  </si>
  <si>
    <t>Is factor applicable?</t>
  </si>
  <si>
    <t>0.9 to 1.1</t>
  </si>
  <si>
    <t>Heritage structure</t>
  </si>
  <si>
    <t>Conservation area</t>
  </si>
  <si>
    <t>Environmentally sensitive</t>
  </si>
  <si>
    <t>Route supported - Unclassified</t>
  </si>
  <si>
    <t>Obstacle crossed - Railway</t>
  </si>
  <si>
    <t>Obstacle crossed - Navigable Watercourse</t>
  </si>
  <si>
    <t>Obstacle crossed - Non-navigable watercourse</t>
  </si>
  <si>
    <t>Obstacle crossed - Footway/cycleway</t>
  </si>
  <si>
    <t>Obstacle crossed - Tenanted/business</t>
  </si>
  <si>
    <t>Obstacle crossed - Land/disused</t>
  </si>
  <si>
    <t>Location - Urban</t>
  </si>
  <si>
    <t>Location - Rural</t>
  </si>
  <si>
    <t>River, Coastal etc. Walls</t>
  </si>
  <si>
    <t>Tunnel (&gt; 400m length)</t>
  </si>
  <si>
    <t>Structure Part Infilled</t>
  </si>
  <si>
    <t>Yes</t>
  </si>
  <si>
    <t>No</t>
  </si>
  <si>
    <t>Adjustment factor to be applied</t>
  </si>
  <si>
    <t>Total net present value of maintenance activities after application of Price Adjustment Factors</t>
  </si>
  <si>
    <t>Table A4</t>
  </si>
  <si>
    <t>Traffic Management Costs Associated with Maintenance Operations</t>
  </si>
  <si>
    <t>Maintenance operation which will require traffic management</t>
  </si>
  <si>
    <t>Cycle Time of cost occuring (Years)</t>
  </si>
  <si>
    <t>Discount Factor 
D</t>
  </si>
  <si>
    <t>Traffic mgt. Activity 1</t>
  </si>
  <si>
    <t>Traffic mgt. Activity 2</t>
  </si>
  <si>
    <t>Traffic mgt. Activity 3</t>
  </si>
  <si>
    <t>Traffic mgt. Activity 4</t>
  </si>
  <si>
    <t>Traffic mgt. Activity 5</t>
  </si>
  <si>
    <r>
      <t>Cost Each Occasion (£) 
c</t>
    </r>
    <r>
      <rPr>
        <b/>
        <vertAlign val="subscript"/>
        <sz val="10"/>
        <color indexed="8"/>
        <rFont val="Arial"/>
        <family val="2"/>
      </rPr>
      <t>1</t>
    </r>
  </si>
  <si>
    <r>
      <t>Additional Cost Sum (£)
c</t>
    </r>
    <r>
      <rPr>
        <b/>
        <vertAlign val="subscript"/>
        <sz val="10"/>
        <color indexed="8"/>
        <rFont val="Arial"/>
        <family val="2"/>
      </rPr>
      <t>1</t>
    </r>
    <r>
      <rPr>
        <b/>
        <sz val="10"/>
        <color indexed="8"/>
        <rFont val="Arial"/>
        <family val="2"/>
      </rPr>
      <t xml:space="preserve"> x D</t>
    </r>
  </si>
  <si>
    <r>
      <t xml:space="preserve">Total net present value of traffic management costs for maintenance </t>
    </r>
    <r>
      <rPr>
        <b/>
        <sz val="10"/>
        <color indexed="8"/>
        <rFont val="GreekC"/>
        <family val="0"/>
      </rPr>
      <t>S</t>
    </r>
    <r>
      <rPr>
        <b/>
        <sz val="10"/>
        <color indexed="8"/>
        <rFont val="Arial"/>
        <family val="2"/>
      </rPr>
      <t xml:space="preserve"> c</t>
    </r>
    <r>
      <rPr>
        <b/>
        <vertAlign val="subscript"/>
        <sz val="10"/>
        <color indexed="8"/>
        <rFont val="Arial"/>
        <family val="2"/>
      </rPr>
      <t>1</t>
    </r>
    <r>
      <rPr>
        <b/>
        <sz val="10"/>
        <color indexed="8"/>
        <rFont val="Arial"/>
        <family val="2"/>
      </rPr>
      <t xml:space="preserve"> x D</t>
    </r>
  </si>
  <si>
    <t>Discount Factor</t>
  </si>
  <si>
    <t>Table B5</t>
  </si>
  <si>
    <t>Cost of Reconstruction</t>
  </si>
  <si>
    <t>Type of route</t>
  </si>
  <si>
    <t>Cost of Reconstruction (£)</t>
  </si>
  <si>
    <t>Commuted sum timescale (years)</t>
  </si>
  <si>
    <t>Discount rate (%)</t>
  </si>
  <si>
    <t>Cost 
(£)</t>
  </si>
  <si>
    <t>Replacements Programmed</t>
  </si>
  <si>
    <t>Running Total of Net Present Value of Maintenance Costs</t>
  </si>
  <si>
    <r>
      <t xml:space="preserve">Total net present value of maintenance activities after application of Price Adjustment Factors
= F x </t>
    </r>
    <r>
      <rPr>
        <b/>
        <sz val="10"/>
        <color indexed="8"/>
        <rFont val="GreekC"/>
        <family val="0"/>
      </rPr>
      <t>S</t>
    </r>
    <r>
      <rPr>
        <b/>
        <sz val="10"/>
        <color indexed="8"/>
        <rFont val="Arial"/>
        <family val="2"/>
      </rPr>
      <t xml:space="preserve"> M x D (from Table A3)</t>
    </r>
  </si>
  <si>
    <r>
      <t xml:space="preserve">Total net present value of traffic management costs for maintenance
= </t>
    </r>
    <r>
      <rPr>
        <b/>
        <sz val="10"/>
        <color indexed="8"/>
        <rFont val="GreekC"/>
        <family val="0"/>
      </rPr>
      <t>S</t>
    </r>
    <r>
      <rPr>
        <b/>
        <sz val="10"/>
        <color indexed="8"/>
        <rFont val="Arial"/>
        <family val="2"/>
      </rPr>
      <t xml:space="preserve"> c</t>
    </r>
    <r>
      <rPr>
        <b/>
        <vertAlign val="subscript"/>
        <sz val="10"/>
        <color indexed="8"/>
        <rFont val="Arial"/>
        <family val="2"/>
      </rPr>
      <t>1</t>
    </r>
    <r>
      <rPr>
        <b/>
        <sz val="10"/>
        <color indexed="8"/>
        <rFont val="Arial"/>
        <family val="2"/>
      </rPr>
      <t xml:space="preserve"> x D (from Table A4)</t>
    </r>
  </si>
  <si>
    <t>Summation to Produce Running Total</t>
  </si>
  <si>
    <t>Table A5</t>
  </si>
  <si>
    <t>Works Contract Preliminaries and Fees</t>
  </si>
  <si>
    <t>Summation of Preliminaries and Fees</t>
  </si>
  <si>
    <t>Works Contract Preliminaries</t>
  </si>
  <si>
    <t>Design and Works Supervision Costs</t>
  </si>
  <si>
    <t>Net Present Value of Contract Preliminaries and design/supervision fees associated with Maintenance Costs (£)</t>
  </si>
  <si>
    <t>10% of Running Total in 
Table A4 (£)</t>
  </si>
  <si>
    <t>12.5% of Running Total in 
Table A4 (£)</t>
  </si>
  <si>
    <t>Table A6</t>
  </si>
  <si>
    <t>Railway Track Possession Costs Associated with Maintenance Operations</t>
  </si>
  <si>
    <t>Maintenance operation which will require rail possession</t>
  </si>
  <si>
    <r>
      <t>Cost Each Occasion (£) 
c</t>
    </r>
    <r>
      <rPr>
        <b/>
        <vertAlign val="subscript"/>
        <sz val="10"/>
        <color indexed="8"/>
        <rFont val="Arial"/>
        <family val="2"/>
      </rPr>
      <t>2</t>
    </r>
  </si>
  <si>
    <r>
      <t xml:space="preserve">Total net present value of traffic management costs for maintenance </t>
    </r>
    <r>
      <rPr>
        <b/>
        <sz val="10"/>
        <color indexed="8"/>
        <rFont val="GreekC"/>
        <family val="0"/>
      </rPr>
      <t>S</t>
    </r>
    <r>
      <rPr>
        <b/>
        <sz val="10"/>
        <color indexed="8"/>
        <rFont val="Arial"/>
        <family val="2"/>
      </rPr>
      <t xml:space="preserve"> c</t>
    </r>
    <r>
      <rPr>
        <b/>
        <vertAlign val="subscript"/>
        <sz val="10"/>
        <color indexed="8"/>
        <rFont val="Arial"/>
        <family val="2"/>
      </rPr>
      <t>2</t>
    </r>
    <r>
      <rPr>
        <b/>
        <sz val="10"/>
        <color indexed="8"/>
        <rFont val="Arial"/>
        <family val="2"/>
      </rPr>
      <t xml:space="preserve"> x D</t>
    </r>
  </si>
  <si>
    <t>Table A7</t>
  </si>
  <si>
    <t>Final Total Value - Sum B</t>
  </si>
  <si>
    <t>Total net present value of maintenance costs from Table A4</t>
  </si>
  <si>
    <t>Net Present Value of Contract Preliminaries and design/supervision fees from Table A5</t>
  </si>
  <si>
    <r>
      <t xml:space="preserve">Total net present value of rail possession costs for maintenance
</t>
    </r>
    <r>
      <rPr>
        <b/>
        <sz val="10"/>
        <color indexed="8"/>
        <rFont val="GreekC"/>
        <family val="0"/>
      </rPr>
      <t>S</t>
    </r>
    <r>
      <rPr>
        <b/>
        <sz val="10"/>
        <color indexed="8"/>
        <rFont val="Arial"/>
        <family val="2"/>
      </rPr>
      <t xml:space="preserve"> c</t>
    </r>
    <r>
      <rPr>
        <b/>
        <vertAlign val="subscript"/>
        <sz val="10"/>
        <color indexed="8"/>
        <rFont val="Arial"/>
        <family val="2"/>
      </rPr>
      <t>2</t>
    </r>
    <r>
      <rPr>
        <b/>
        <sz val="10"/>
        <color indexed="8"/>
        <rFont val="Arial"/>
        <family val="2"/>
      </rPr>
      <t xml:space="preserve"> x D from Table A6</t>
    </r>
  </si>
  <si>
    <t>Sum B Maintenance Element of Commuted Sum</t>
  </si>
  <si>
    <t>Early Refurbishment Costs</t>
  </si>
  <si>
    <t>Time to refurbishment (years)</t>
  </si>
  <si>
    <t>Sum to provide refurbishment cost</t>
  </si>
  <si>
    <t>Sum C Total</t>
  </si>
  <si>
    <t>Total Commuted Sum for Structure</t>
  </si>
  <si>
    <t>Sum A</t>
  </si>
  <si>
    <t>Sum B</t>
  </si>
  <si>
    <t>Sum C</t>
  </si>
  <si>
    <t>Total Commuted Sum</t>
  </si>
  <si>
    <t>Calculation By</t>
  </si>
  <si>
    <t>Calculation For</t>
  </si>
  <si>
    <t>Date</t>
  </si>
  <si>
    <t xml:space="preserve">This commuted sums calculator was kindly prepared by Chris Mundell of Atkins. It has not been checked or verified by Atkins, and you use it at your own risk.                                   </t>
  </si>
  <si>
    <t>Commuted Sums Calculator</t>
  </si>
  <si>
    <t>Name of Structure</t>
  </si>
  <si>
    <t xml:space="preserve">To use the spreadsheet, you will need to fill in all of the "orange" coloured fields, in line with section 4 of the guidance document. The spreadsheet will then complete the calculations. </t>
  </si>
  <si>
    <t xml:space="preserve"> It is designed to be used in conjunction with the guidance document "Commuted sums for the relief of maintenance and reconstruction of bridges" produced by the ADEPT Bridges Group</t>
  </si>
  <si>
    <t>Principal Inspection: Specific to Structure</t>
  </si>
  <si>
    <t>Cost of refurbishment at current prices</t>
  </si>
  <si>
    <t>Table B4</t>
  </si>
  <si>
    <t>Precast Reinforced Concrete: Repairs</t>
  </si>
  <si>
    <t>This spreadsheet has been amended in August 2017 to correct some errors in the discount factor tables. It has further been amended in May 2018 to correct an error in table A5.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</si>
</sst>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60">
    <font>
      <sz val="10"/>
      <color theme="1"/>
      <name val="Arial"/>
      <family val="2"/>
    </font>
    <font>
      <sz val="11"/>
      <color indexed="8"/>
      <name val="Calibri"/>
      <family val="2"/>
    </font>
    <font>
      <b/>
      <sz val="10"/>
      <color indexed="8"/>
      <name val="Arial"/>
      <family val="2"/>
    </font>
    <font>
      <b/>
      <sz val="10"/>
      <name val="Arial"/>
      <family val="2"/>
    </font>
    <font>
      <vertAlign val="superscript"/>
      <sz val="10"/>
      <color indexed="8"/>
      <name val="Arial"/>
      <family val="2"/>
    </font>
    <font>
      <b/>
      <sz val="10"/>
      <color indexed="8"/>
      <name val="GreekC"/>
      <family val="0"/>
    </font>
    <font>
      <b/>
      <vertAlign val="subscript"/>
      <sz val="10"/>
      <color indexed="8"/>
      <name val="Arial"/>
      <family val="2"/>
    </font>
    <font>
      <sz val="10"/>
      <color indexed="8"/>
      <name val="Arial"/>
      <family val="2"/>
    </font>
    <font>
      <u val="single"/>
      <sz val="10"/>
      <color indexed="12"/>
      <name val="Arial"/>
      <family val="2"/>
    </font>
    <font>
      <sz val="16"/>
      <color indexed="8"/>
      <name val="Arial"/>
      <family val="2"/>
    </font>
    <font>
      <b/>
      <sz val="16"/>
      <color indexed="8"/>
      <name val="Arial"/>
      <family val="2"/>
    </font>
    <font>
      <sz val="11"/>
      <color indexed="8"/>
      <name val="Arial"/>
      <family val="2"/>
    </font>
    <font>
      <sz val="12"/>
      <color indexed="8"/>
      <name val="Trebuchet MS"/>
      <family val="2"/>
    </font>
    <font>
      <sz val="20"/>
      <color indexed="8"/>
      <name val="Arial"/>
      <family val="2"/>
    </font>
    <font>
      <b/>
      <sz val="20"/>
      <color indexed="8"/>
      <name val="Arial"/>
      <family val="2"/>
    </font>
    <font>
      <sz val="14"/>
      <color indexed="8"/>
      <name val="Trebuchet MS"/>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6"/>
      <color theme="1"/>
      <name val="Arial"/>
      <family val="2"/>
    </font>
    <font>
      <b/>
      <sz val="16"/>
      <color theme="1"/>
      <name val="Arial"/>
      <family val="2"/>
    </font>
    <font>
      <sz val="11"/>
      <color theme="1"/>
      <name val="Arial"/>
      <family val="2"/>
    </font>
    <font>
      <sz val="12"/>
      <color theme="1"/>
      <name val="Trebuchet MS"/>
      <family val="2"/>
    </font>
    <font>
      <sz val="20"/>
      <color theme="1"/>
      <name val="Arial"/>
      <family val="2"/>
    </font>
    <font>
      <b/>
      <sz val="20"/>
      <color theme="1"/>
      <name val="Arial"/>
      <family val="2"/>
    </font>
    <font>
      <sz val="14"/>
      <color theme="1"/>
      <name val="Trebuchet MS"/>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style="medium"/>
      <bottom/>
    </border>
    <border>
      <left style="medium"/>
      <right/>
      <top/>
      <bottom style="medium"/>
    </border>
    <border>
      <left/>
      <right style="medium"/>
      <top/>
      <bottom style="medium"/>
    </border>
    <border>
      <left style="medium"/>
      <right style="medium"/>
      <top/>
      <bottom/>
    </border>
    <border>
      <left style="medium"/>
      <right style="medium"/>
      <top/>
      <bottom style="medium"/>
    </border>
    <border>
      <left style="medium"/>
      <right/>
      <top style="medium"/>
      <bottom style="medium"/>
    </border>
    <border>
      <left style="medium"/>
      <right style="medium"/>
      <top style="medium"/>
      <bottom style="medium"/>
    </border>
    <border>
      <left/>
      <right style="medium"/>
      <top style="medium"/>
      <bottom style="medium"/>
    </border>
    <border>
      <left/>
      <right style="medium"/>
      <top style="medium"/>
      <bottom/>
    </border>
    <border>
      <left style="medium"/>
      <right/>
      <top style="thin"/>
      <bottom style="thin"/>
    </border>
    <border>
      <left style="medium"/>
      <right/>
      <top style="thin"/>
      <bottom style="medium"/>
    </border>
    <border>
      <left style="medium"/>
      <right/>
      <top/>
      <bottom style="thin"/>
    </border>
    <border>
      <left style="medium"/>
      <right style="medium"/>
      <top style="medium"/>
      <bottom/>
    </border>
    <border>
      <left/>
      <right/>
      <top style="medium"/>
      <bottom style="medium"/>
    </border>
    <border>
      <left/>
      <right/>
      <top/>
      <bottom style="medium"/>
    </border>
    <border>
      <left style="medium"/>
      <right/>
      <top style="medium"/>
      <bottom style="thin"/>
    </border>
    <border>
      <left/>
      <right/>
      <top style="medium"/>
      <botto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2">
    <xf numFmtId="0" fontId="0" fillId="0" borderId="0" xfId="0" applyAlignment="1">
      <alignment/>
    </xf>
    <xf numFmtId="0" fontId="0" fillId="0" borderId="0" xfId="0" applyAlignment="1">
      <alignment wrapText="1"/>
    </xf>
    <xf numFmtId="0" fontId="0" fillId="0" borderId="10" xfId="0" applyBorder="1" applyAlignment="1">
      <alignment wrapText="1"/>
    </xf>
    <xf numFmtId="0" fontId="51" fillId="0" borderId="10" xfId="0" applyFont="1" applyBorder="1" applyAlignment="1">
      <alignment wrapText="1"/>
    </xf>
    <xf numFmtId="0" fontId="0" fillId="0" borderId="11" xfId="0" applyBorder="1" applyAlignment="1">
      <alignment horizontal="center" vertical="center"/>
    </xf>
    <xf numFmtId="0" fontId="0" fillId="0" borderId="10" xfId="0" applyFont="1" applyBorder="1" applyAlignment="1">
      <alignment wrapText="1"/>
    </xf>
    <xf numFmtId="0" fontId="3" fillId="0" borderId="10" xfId="52" applyFont="1" applyBorder="1" applyAlignment="1" applyProtection="1">
      <alignment wrapText="1"/>
      <protection/>
    </xf>
    <xf numFmtId="0" fontId="0" fillId="0" borderId="12" xfId="0" applyBorder="1" applyAlignment="1">
      <alignment/>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7" xfId="0" applyFont="1" applyFill="1" applyBorder="1" applyAlignment="1">
      <alignment wrapText="1"/>
    </xf>
    <xf numFmtId="0" fontId="51" fillId="33" borderId="19" xfId="0" applyFont="1" applyFill="1" applyBorder="1" applyAlignment="1">
      <alignment horizontal="center" vertical="center" wrapText="1"/>
    </xf>
    <xf numFmtId="0" fontId="51" fillId="0" borderId="12" xfId="0" applyFont="1" applyBorder="1" applyAlignment="1">
      <alignment wrapText="1"/>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3" xfId="0" applyFont="1" applyBorder="1" applyAlignment="1">
      <alignment wrapText="1"/>
    </xf>
    <xf numFmtId="0" fontId="0" fillId="0" borderId="13" xfId="0" applyBorder="1" applyAlignment="1">
      <alignment wrapText="1"/>
    </xf>
    <xf numFmtId="0" fontId="51" fillId="33" borderId="17" xfId="0" applyFont="1" applyFill="1" applyBorder="1" applyAlignment="1">
      <alignment horizontal="left" vertical="center"/>
    </xf>
    <xf numFmtId="0" fontId="0" fillId="33" borderId="25" xfId="0" applyFill="1" applyBorder="1" applyAlignment="1">
      <alignment horizontal="center" vertical="center"/>
    </xf>
    <xf numFmtId="0" fontId="0" fillId="33" borderId="25" xfId="0" applyFill="1" applyBorder="1" applyAlignment="1">
      <alignment horizontal="right" vertical="center"/>
    </xf>
    <xf numFmtId="0" fontId="51" fillId="33" borderId="19" xfId="0" applyFont="1" applyFill="1" applyBorder="1" applyAlignment="1">
      <alignment horizontal="center" vertical="center"/>
    </xf>
    <xf numFmtId="0" fontId="0" fillId="13" borderId="20" xfId="0" applyFill="1" applyBorder="1" applyAlignment="1">
      <alignment horizontal="center" vertical="center"/>
    </xf>
    <xf numFmtId="0" fontId="0" fillId="13" borderId="14" xfId="0" applyFill="1" applyBorder="1" applyAlignment="1">
      <alignment horizontal="center" vertical="center"/>
    </xf>
    <xf numFmtId="0" fontId="0" fillId="13" borderId="11" xfId="0" applyFill="1" applyBorder="1" applyAlignment="1">
      <alignment horizontal="center" vertical="center"/>
    </xf>
    <xf numFmtId="0" fontId="0" fillId="13" borderId="10" xfId="0" applyFill="1" applyBorder="1" applyAlignment="1">
      <alignment horizontal="center"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13" borderId="15" xfId="0" applyFill="1" applyBorder="1" applyAlignment="1">
      <alignment horizontal="center" vertical="center"/>
    </xf>
    <xf numFmtId="0" fontId="0" fillId="13" borderId="24" xfId="0" applyFill="1" applyBorder="1" applyAlignment="1">
      <alignment horizontal="center" vertical="center"/>
    </xf>
    <xf numFmtId="0" fontId="0" fillId="13" borderId="16" xfId="0" applyFill="1" applyBorder="1" applyAlignment="1">
      <alignment horizontal="center" vertical="center"/>
    </xf>
    <xf numFmtId="2" fontId="0" fillId="0" borderId="20" xfId="0" applyNumberFormat="1" applyBorder="1" applyAlignment="1">
      <alignment horizontal="center" vertical="center"/>
    </xf>
    <xf numFmtId="2" fontId="0" fillId="0" borderId="14" xfId="0" applyNumberFormat="1" applyBorder="1" applyAlignment="1">
      <alignment horizontal="center" vertical="center"/>
    </xf>
    <xf numFmtId="2" fontId="0" fillId="0" borderId="11" xfId="0" applyNumberFormat="1" applyBorder="1" applyAlignment="1">
      <alignment horizontal="center" vertical="center"/>
    </xf>
    <xf numFmtId="2" fontId="51" fillId="33" borderId="19" xfId="0" applyNumberFormat="1" applyFont="1" applyFill="1" applyBorder="1" applyAlignment="1">
      <alignment horizontal="center" vertical="center"/>
    </xf>
    <xf numFmtId="0" fontId="0" fillId="0" borderId="10" xfId="0" applyBorder="1" applyAlignment="1">
      <alignment/>
    </xf>
    <xf numFmtId="2" fontId="0" fillId="0" borderId="0" xfId="0" applyNumberFormat="1" applyBorder="1" applyAlignment="1">
      <alignment horizontal="center"/>
    </xf>
    <xf numFmtId="0" fontId="0" fillId="0" borderId="13" xfId="0" applyBorder="1" applyAlignment="1">
      <alignment/>
    </xf>
    <xf numFmtId="0" fontId="0" fillId="0" borderId="14" xfId="0" applyBorder="1" applyAlignment="1">
      <alignment horizontal="center"/>
    </xf>
    <xf numFmtId="2" fontId="0" fillId="0" borderId="15" xfId="0" applyNumberFormat="1" applyBorder="1" applyAlignment="1">
      <alignment horizontal="center" vertical="center"/>
    </xf>
    <xf numFmtId="2" fontId="0" fillId="0" borderId="15" xfId="0" applyNumberFormat="1" applyBorder="1" applyAlignment="1">
      <alignment horizontal="center"/>
    </xf>
    <xf numFmtId="0" fontId="0" fillId="0" borderId="16" xfId="0" applyBorder="1" applyAlignment="1">
      <alignment horizontal="center"/>
    </xf>
    <xf numFmtId="0" fontId="51" fillId="33" borderId="17" xfId="0" applyFont="1" applyFill="1" applyBorder="1" applyAlignment="1">
      <alignment vertical="center" wrapText="1"/>
    </xf>
    <xf numFmtId="0" fontId="51" fillId="33" borderId="17" xfId="0" applyFont="1" applyFill="1"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wrapText="1"/>
    </xf>
    <xf numFmtId="0" fontId="51" fillId="33" borderId="26"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3" xfId="0" applyFont="1" applyFill="1" applyBorder="1" applyAlignment="1">
      <alignment horizontal="left" vertical="center"/>
    </xf>
    <xf numFmtId="0" fontId="51" fillId="34" borderId="17" xfId="0" applyFont="1" applyFill="1" applyBorder="1" applyAlignment="1">
      <alignment vertical="center"/>
    </xf>
    <xf numFmtId="0" fontId="51" fillId="34" borderId="25" xfId="0" applyFont="1" applyFill="1" applyBorder="1" applyAlignment="1">
      <alignment horizontal="right" vertical="center"/>
    </xf>
    <xf numFmtId="2" fontId="51" fillId="34" borderId="19" xfId="0" applyNumberFormat="1" applyFont="1" applyFill="1" applyBorder="1" applyAlignment="1">
      <alignment horizontal="center" vertical="center"/>
    </xf>
    <xf numFmtId="0" fontId="0" fillId="0" borderId="0" xfId="0" applyBorder="1" applyAlignment="1">
      <alignment/>
    </xf>
    <xf numFmtId="2" fontId="51" fillId="0" borderId="17" xfId="0" applyNumberFormat="1" applyFont="1" applyBorder="1" applyAlignment="1">
      <alignment horizontal="center" vertical="center" wrapText="1"/>
    </xf>
    <xf numFmtId="0" fontId="0" fillId="0" borderId="11" xfId="0" applyBorder="1" applyAlignment="1">
      <alignment horizontal="center"/>
    </xf>
    <xf numFmtId="2" fontId="51" fillId="33" borderId="25" xfId="0" applyNumberFormat="1" applyFont="1" applyFill="1" applyBorder="1" applyAlignment="1">
      <alignment horizontal="center" vertical="center"/>
    </xf>
    <xf numFmtId="0" fontId="51" fillId="33" borderId="25" xfId="0" applyFont="1" applyFill="1" applyBorder="1" applyAlignment="1">
      <alignment vertical="center"/>
    </xf>
    <xf numFmtId="0" fontId="51" fillId="33" borderId="25" xfId="0" applyFont="1" applyFill="1" applyBorder="1" applyAlignment="1">
      <alignment horizontal="right" vertical="center"/>
    </xf>
    <xf numFmtId="0" fontId="51" fillId="0" borderId="0" xfId="0" applyFont="1" applyBorder="1" applyAlignment="1">
      <alignment/>
    </xf>
    <xf numFmtId="2" fontId="51" fillId="0" borderId="0" xfId="0" applyNumberFormat="1" applyFont="1" applyBorder="1" applyAlignment="1">
      <alignment horizontal="center"/>
    </xf>
    <xf numFmtId="0" fontId="51" fillId="0" borderId="0" xfId="0" applyFont="1" applyAlignment="1">
      <alignment/>
    </xf>
    <xf numFmtId="2" fontId="0" fillId="13" borderId="12" xfId="0" applyNumberFormat="1" applyFill="1" applyBorder="1" applyAlignment="1">
      <alignment horizontal="center"/>
    </xf>
    <xf numFmtId="0" fontId="0" fillId="13" borderId="24" xfId="0" applyFill="1" applyBorder="1" applyAlignment="1">
      <alignment horizontal="center"/>
    </xf>
    <xf numFmtId="0" fontId="0" fillId="13" borderId="20" xfId="0" applyFill="1" applyBorder="1" applyAlignment="1">
      <alignment horizontal="center"/>
    </xf>
    <xf numFmtId="2" fontId="0" fillId="13" borderId="10" xfId="0" applyNumberFormat="1" applyFill="1" applyBorder="1" applyAlignment="1">
      <alignment horizontal="center"/>
    </xf>
    <xf numFmtId="0" fontId="0" fillId="13" borderId="15" xfId="0" applyFill="1" applyBorder="1" applyAlignment="1">
      <alignment horizontal="center"/>
    </xf>
    <xf numFmtId="0" fontId="0" fillId="13" borderId="11" xfId="0" applyFill="1" applyBorder="1" applyAlignment="1">
      <alignment horizontal="center"/>
    </xf>
    <xf numFmtId="2" fontId="0" fillId="13" borderId="13" xfId="0" applyNumberFormat="1" applyFill="1" applyBorder="1" applyAlignment="1">
      <alignment horizontal="center"/>
    </xf>
    <xf numFmtId="0" fontId="0" fillId="13" borderId="14" xfId="0" applyFill="1" applyBorder="1" applyAlignment="1">
      <alignment horizontal="center"/>
    </xf>
    <xf numFmtId="0" fontId="0" fillId="0" borderId="27" xfId="0" applyBorder="1" applyAlignment="1">
      <alignment horizontal="center"/>
    </xf>
    <xf numFmtId="0" fontId="51" fillId="33" borderId="13" xfId="0" applyFont="1" applyFill="1" applyBorder="1" applyAlignment="1">
      <alignment vertical="center"/>
    </xf>
    <xf numFmtId="0" fontId="0" fillId="33" borderId="25" xfId="0" applyFill="1" applyBorder="1" applyAlignment="1">
      <alignment/>
    </xf>
    <xf numFmtId="2" fontId="51" fillId="0" borderId="24" xfId="0" applyNumberFormat="1" applyFont="1" applyBorder="1" applyAlignment="1">
      <alignment horizontal="center" vertical="center"/>
    </xf>
    <xf numFmtId="0" fontId="51" fillId="0" borderId="18" xfId="0" applyFont="1" applyBorder="1" applyAlignment="1">
      <alignment horizontal="center" vertical="center"/>
    </xf>
    <xf numFmtId="2" fontId="51" fillId="0" borderId="16" xfId="0" applyNumberFormat="1" applyFont="1" applyBorder="1" applyAlignment="1">
      <alignment horizontal="center" vertical="center"/>
    </xf>
    <xf numFmtId="2" fontId="51" fillId="0" borderId="18" xfId="0" applyNumberFormat="1" applyFont="1" applyBorder="1" applyAlignment="1">
      <alignment horizontal="center" vertical="center"/>
    </xf>
    <xf numFmtId="0" fontId="0" fillId="13" borderId="15" xfId="0" applyFill="1" applyBorder="1" applyAlignment="1">
      <alignment/>
    </xf>
    <xf numFmtId="0" fontId="0" fillId="13" borderId="16" xfId="0" applyFill="1" applyBorder="1" applyAlignment="1">
      <alignment/>
    </xf>
    <xf numFmtId="2" fontId="51" fillId="33" borderId="14" xfId="0" applyNumberFormat="1" applyFont="1" applyFill="1" applyBorder="1" applyAlignment="1">
      <alignment horizontal="center" vertical="center"/>
    </xf>
    <xf numFmtId="0" fontId="0" fillId="13" borderId="18" xfId="0" applyFill="1" applyBorder="1" applyAlignment="1">
      <alignment horizontal="center" vertical="center"/>
    </xf>
    <xf numFmtId="2" fontId="0" fillId="0" borderId="18" xfId="0" applyNumberFormat="1" applyFill="1" applyBorder="1" applyAlignment="1">
      <alignment horizontal="center" vertical="center"/>
    </xf>
    <xf numFmtId="0" fontId="51" fillId="35" borderId="17" xfId="0" applyFont="1" applyFill="1" applyBorder="1" applyAlignment="1">
      <alignment vertical="center"/>
    </xf>
    <xf numFmtId="0" fontId="52" fillId="33" borderId="28" xfId="0" applyFont="1" applyFill="1" applyBorder="1" applyAlignment="1">
      <alignment horizontal="right"/>
    </xf>
    <xf numFmtId="2" fontId="52" fillId="33" borderId="20" xfId="0" applyNumberFormat="1" applyFont="1" applyFill="1" applyBorder="1" applyAlignment="1">
      <alignment/>
    </xf>
    <xf numFmtId="0" fontId="52" fillId="33" borderId="0" xfId="0" applyFont="1" applyFill="1" applyBorder="1" applyAlignment="1">
      <alignment horizontal="right"/>
    </xf>
    <xf numFmtId="2" fontId="52" fillId="33" borderId="11" xfId="0" applyNumberFormat="1" applyFont="1" applyFill="1" applyBorder="1" applyAlignment="1">
      <alignment/>
    </xf>
    <xf numFmtId="0" fontId="52" fillId="33" borderId="26" xfId="0" applyFont="1" applyFill="1" applyBorder="1" applyAlignment="1">
      <alignment horizontal="right"/>
    </xf>
    <xf numFmtId="2" fontId="52" fillId="33" borderId="14" xfId="0" applyNumberFormat="1" applyFont="1" applyFill="1" applyBorder="1" applyAlignment="1">
      <alignment/>
    </xf>
    <xf numFmtId="0" fontId="52" fillId="33" borderId="12" xfId="0" applyFont="1" applyFill="1" applyBorder="1" applyAlignment="1">
      <alignment/>
    </xf>
    <xf numFmtId="0" fontId="52" fillId="33" borderId="10" xfId="0" applyFont="1" applyFill="1" applyBorder="1" applyAlignment="1">
      <alignment/>
    </xf>
    <xf numFmtId="0" fontId="52" fillId="33" borderId="13" xfId="0" applyFont="1" applyFill="1" applyBorder="1" applyAlignment="1">
      <alignment/>
    </xf>
    <xf numFmtId="0" fontId="53" fillId="34" borderId="13" xfId="0" applyFont="1" applyFill="1" applyBorder="1" applyAlignment="1">
      <alignment/>
    </xf>
    <xf numFmtId="0" fontId="53" fillId="34" borderId="25" xfId="0" applyFont="1" applyFill="1" applyBorder="1" applyAlignment="1">
      <alignment horizontal="right"/>
    </xf>
    <xf numFmtId="2" fontId="53" fillId="34" borderId="14" xfId="0" applyNumberFormat="1" applyFont="1" applyFill="1" applyBorder="1" applyAlignment="1">
      <alignment/>
    </xf>
    <xf numFmtId="0" fontId="54" fillId="33" borderId="17" xfId="0" applyFont="1" applyFill="1" applyBorder="1" applyAlignment="1">
      <alignment/>
    </xf>
    <xf numFmtId="0" fontId="54" fillId="33" borderId="13" xfId="0" applyFont="1" applyFill="1" applyBorder="1" applyAlignment="1">
      <alignment/>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55" fillId="0" borderId="0" xfId="0" applyFont="1" applyAlignment="1">
      <alignment horizontal="left" vertical="top" wrapText="1"/>
    </xf>
    <xf numFmtId="0" fontId="0" fillId="13" borderId="10" xfId="0" applyFill="1" applyBorder="1" applyAlignment="1" applyProtection="1">
      <alignment horizontal="center"/>
      <protection locked="0"/>
    </xf>
    <xf numFmtId="0" fontId="0" fillId="13" borderId="13" xfId="0" applyFill="1" applyBorder="1" applyAlignment="1" applyProtection="1">
      <alignment horizontal="center"/>
      <protection locked="0"/>
    </xf>
    <xf numFmtId="0" fontId="0" fillId="0" borderId="0" xfId="0" applyAlignment="1" applyProtection="1">
      <alignment/>
      <protection/>
    </xf>
    <xf numFmtId="0" fontId="51" fillId="0" borderId="17" xfId="0" applyFont="1" applyBorder="1" applyAlignment="1" applyProtection="1">
      <alignment/>
      <protection/>
    </xf>
    <xf numFmtId="0" fontId="51" fillId="0" borderId="10" xfId="0" applyFont="1" applyBorder="1" applyAlignment="1" applyProtection="1">
      <alignment/>
      <protection/>
    </xf>
    <xf numFmtId="0" fontId="51" fillId="33" borderId="17" xfId="0" applyFont="1" applyFill="1" applyBorder="1" applyAlignment="1" applyProtection="1">
      <alignment horizontal="left" vertical="center"/>
      <protection/>
    </xf>
    <xf numFmtId="0" fontId="51" fillId="33" borderId="17" xfId="0" applyFont="1" applyFill="1" applyBorder="1" applyAlignment="1" applyProtection="1">
      <alignment horizontal="center" vertical="center" wrapText="1"/>
      <protection/>
    </xf>
    <xf numFmtId="0" fontId="51" fillId="33" borderId="18" xfId="0" applyFont="1" applyFill="1" applyBorder="1" applyAlignment="1" applyProtection="1">
      <alignment horizontal="center" vertical="center" wrapText="1"/>
      <protection/>
    </xf>
    <xf numFmtId="0" fontId="51" fillId="33" borderId="19" xfId="0" applyFont="1" applyFill="1" applyBorder="1" applyAlignment="1" applyProtection="1">
      <alignment horizontal="center" wrapText="1"/>
      <protection/>
    </xf>
    <xf numFmtId="1" fontId="0" fillId="0" borderId="15" xfId="0" applyNumberFormat="1" applyBorder="1" applyAlignment="1" applyProtection="1">
      <alignment horizontal="center"/>
      <protection/>
    </xf>
    <xf numFmtId="0" fontId="0" fillId="0" borderId="11" xfId="0" applyBorder="1" applyAlignment="1" applyProtection="1">
      <alignment horizontal="center"/>
      <protection/>
    </xf>
    <xf numFmtId="0" fontId="0" fillId="0" borderId="0" xfId="0" applyAlignment="1" applyProtection="1">
      <alignment horizontal="right"/>
      <protection/>
    </xf>
    <xf numFmtId="0" fontId="51" fillId="0" borderId="13" xfId="0" applyFont="1" applyBorder="1" applyAlignment="1" applyProtection="1">
      <alignment/>
      <protection/>
    </xf>
    <xf numFmtId="1" fontId="0" fillId="0" borderId="16" xfId="0" applyNumberFormat="1" applyBorder="1" applyAlignment="1" applyProtection="1">
      <alignment horizontal="center"/>
      <protection/>
    </xf>
    <xf numFmtId="0" fontId="0" fillId="0" borderId="14" xfId="0" applyBorder="1" applyAlignment="1" applyProtection="1">
      <alignment horizontal="center"/>
      <protection/>
    </xf>
    <xf numFmtId="0" fontId="51" fillId="33" borderId="13" xfId="0" applyFont="1" applyFill="1" applyBorder="1" applyAlignment="1" applyProtection="1">
      <alignment vertical="center"/>
      <protection/>
    </xf>
    <xf numFmtId="0" fontId="51" fillId="33" borderId="26" xfId="0" applyFont="1" applyFill="1" applyBorder="1" applyAlignment="1" applyProtection="1">
      <alignment vertical="center"/>
      <protection/>
    </xf>
    <xf numFmtId="1" fontId="51" fillId="33" borderId="26" xfId="0" applyNumberFormat="1" applyFont="1" applyFill="1" applyBorder="1" applyAlignment="1" applyProtection="1">
      <alignment horizontal="center" vertical="center"/>
      <protection/>
    </xf>
    <xf numFmtId="0" fontId="56" fillId="33" borderId="14" xfId="0" applyFont="1" applyFill="1" applyBorder="1" applyAlignment="1" applyProtection="1">
      <alignment/>
      <protection/>
    </xf>
    <xf numFmtId="0" fontId="0" fillId="0" borderId="0" xfId="0" applyAlignment="1" applyProtection="1">
      <alignment horizontal="center"/>
      <protection/>
    </xf>
    <xf numFmtId="0" fontId="57" fillId="0" borderId="0" xfId="0" applyFont="1" applyAlignment="1" applyProtection="1">
      <alignment/>
      <protection/>
    </xf>
    <xf numFmtId="0" fontId="57" fillId="0" borderId="0" xfId="0" applyFont="1" applyAlignment="1">
      <alignment/>
    </xf>
    <xf numFmtId="164" fontId="0" fillId="0" borderId="29" xfId="0" applyNumberFormat="1" applyBorder="1" applyAlignment="1">
      <alignment horizontal="center"/>
    </xf>
    <xf numFmtId="164" fontId="0" fillId="0" borderId="30" xfId="0" applyNumberFormat="1" applyBorder="1" applyAlignment="1">
      <alignment horizontal="center"/>
    </xf>
    <xf numFmtId="164" fontId="0" fillId="0" borderId="31" xfId="0" applyNumberFormat="1" applyBorder="1" applyAlignment="1">
      <alignment horizontal="center"/>
    </xf>
    <xf numFmtId="164" fontId="0" fillId="0" borderId="32" xfId="0" applyNumberFormat="1" applyBorder="1" applyAlignment="1">
      <alignment horizontal="center"/>
    </xf>
    <xf numFmtId="0" fontId="55" fillId="0" borderId="33" xfId="0" applyNumberFormat="1" applyFont="1" applyBorder="1" applyAlignment="1">
      <alignment horizontal="left" vertical="center" wrapText="1"/>
    </xf>
    <xf numFmtId="0" fontId="55" fillId="0" borderId="34" xfId="0" applyNumberFormat="1" applyFont="1" applyBorder="1" applyAlignment="1">
      <alignment horizontal="left" vertical="center" wrapText="1"/>
    </xf>
    <xf numFmtId="0" fontId="55" fillId="0" borderId="35" xfId="0" applyNumberFormat="1" applyFont="1" applyBorder="1" applyAlignment="1">
      <alignment horizontal="left" vertical="center" wrapText="1"/>
    </xf>
    <xf numFmtId="0" fontId="55" fillId="0" borderId="36" xfId="0" applyNumberFormat="1" applyFont="1" applyBorder="1" applyAlignment="1">
      <alignment horizontal="left" vertical="center" wrapText="1"/>
    </xf>
    <xf numFmtId="0" fontId="55" fillId="0" borderId="0" xfId="0" applyNumberFormat="1" applyFont="1" applyBorder="1" applyAlignment="1">
      <alignment horizontal="left" vertical="center" wrapText="1"/>
    </xf>
    <xf numFmtId="0" fontId="55" fillId="0" borderId="37" xfId="0" applyNumberFormat="1" applyFont="1" applyBorder="1" applyAlignment="1">
      <alignment horizontal="left" vertical="center" wrapText="1"/>
    </xf>
    <xf numFmtId="0" fontId="55" fillId="0" borderId="38" xfId="0" applyNumberFormat="1" applyFont="1" applyBorder="1" applyAlignment="1">
      <alignment horizontal="left" vertical="center" wrapText="1"/>
    </xf>
    <xf numFmtId="0" fontId="55" fillId="0" borderId="39" xfId="0" applyNumberFormat="1" applyFont="1" applyBorder="1" applyAlignment="1">
      <alignment horizontal="left" vertical="center" wrapText="1"/>
    </xf>
    <xf numFmtId="0" fontId="55" fillId="0" borderId="40" xfId="0" applyNumberFormat="1" applyFont="1" applyBorder="1" applyAlignment="1">
      <alignment horizontal="left" vertical="center" wrapText="1"/>
    </xf>
    <xf numFmtId="0" fontId="55" fillId="0" borderId="33" xfId="0" applyFont="1" applyBorder="1" applyAlignment="1">
      <alignment horizontal="left" vertical="top" wrapText="1"/>
    </xf>
    <xf numFmtId="0" fontId="55" fillId="0" borderId="34" xfId="0" applyFont="1" applyBorder="1" applyAlignment="1">
      <alignment horizontal="left" vertical="top" wrapText="1"/>
    </xf>
    <xf numFmtId="0" fontId="55" fillId="0" borderId="35" xfId="0" applyFont="1" applyBorder="1" applyAlignment="1">
      <alignment horizontal="left" vertical="top" wrapText="1"/>
    </xf>
    <xf numFmtId="0" fontId="55" fillId="0" borderId="36" xfId="0" applyFont="1" applyBorder="1" applyAlignment="1">
      <alignment horizontal="left" vertical="top" wrapText="1"/>
    </xf>
    <xf numFmtId="0" fontId="55" fillId="0" borderId="0" xfId="0" applyFont="1" applyBorder="1" applyAlignment="1">
      <alignment horizontal="left" vertical="top" wrapText="1"/>
    </xf>
    <xf numFmtId="0" fontId="55" fillId="0" borderId="37" xfId="0" applyFont="1" applyBorder="1" applyAlignment="1">
      <alignment horizontal="left" vertical="top" wrapText="1"/>
    </xf>
    <xf numFmtId="0" fontId="55" fillId="0" borderId="38" xfId="0" applyFont="1" applyBorder="1" applyAlignment="1">
      <alignment horizontal="left" vertical="top" wrapText="1"/>
    </xf>
    <xf numFmtId="0" fontId="55" fillId="0" borderId="39" xfId="0" applyFont="1" applyBorder="1" applyAlignment="1">
      <alignment horizontal="left" vertical="top" wrapText="1"/>
    </xf>
    <xf numFmtId="0" fontId="55" fillId="0" borderId="40" xfId="0" applyFont="1" applyBorder="1" applyAlignment="1">
      <alignment horizontal="left" vertical="top" wrapText="1"/>
    </xf>
    <xf numFmtId="0" fontId="58" fillId="0" borderId="0" xfId="0" applyFont="1" applyAlignment="1">
      <alignment horizontal="center"/>
    </xf>
    <xf numFmtId="0" fontId="0" fillId="13" borderId="13" xfId="0" applyFill="1" applyBorder="1" applyAlignment="1" applyProtection="1">
      <alignment horizontal="center"/>
      <protection locked="0"/>
    </xf>
    <xf numFmtId="0" fontId="0" fillId="13" borderId="26" xfId="0" applyFill="1" applyBorder="1" applyAlignment="1" applyProtection="1">
      <alignment horizontal="center"/>
      <protection locked="0"/>
    </xf>
    <xf numFmtId="0" fontId="0" fillId="13" borderId="14" xfId="0" applyFill="1" applyBorder="1" applyAlignment="1" applyProtection="1">
      <alignment horizontal="center"/>
      <protection locked="0"/>
    </xf>
    <xf numFmtId="0" fontId="56" fillId="13" borderId="13" xfId="0" applyFont="1" applyFill="1" applyBorder="1" applyAlignment="1" applyProtection="1">
      <alignment horizontal="center"/>
      <protection locked="0"/>
    </xf>
    <xf numFmtId="0" fontId="56" fillId="13" borderId="26" xfId="0" applyFont="1" applyFill="1" applyBorder="1" applyAlignment="1" applyProtection="1">
      <alignment horizontal="center"/>
      <protection locked="0"/>
    </xf>
    <xf numFmtId="0" fontId="56" fillId="13" borderId="14" xfId="0" applyFont="1" applyFill="1" applyBorder="1" applyAlignment="1" applyProtection="1">
      <alignment horizontal="center"/>
      <protection locked="0"/>
    </xf>
    <xf numFmtId="0" fontId="57" fillId="34" borderId="12" xfId="0" applyFont="1" applyFill="1" applyBorder="1" applyAlignment="1" applyProtection="1">
      <alignment horizontal="center"/>
      <protection/>
    </xf>
    <xf numFmtId="0" fontId="57" fillId="34" borderId="28" xfId="0" applyFont="1" applyFill="1" applyBorder="1" applyAlignment="1" applyProtection="1">
      <alignment horizontal="center"/>
      <protection/>
    </xf>
    <xf numFmtId="0" fontId="57" fillId="34" borderId="20" xfId="0" applyFont="1" applyFill="1" applyBorder="1" applyAlignment="1" applyProtection="1">
      <alignment horizontal="center"/>
      <protection/>
    </xf>
    <xf numFmtId="0" fontId="0" fillId="13" borderId="17" xfId="0" applyFill="1" applyBorder="1" applyAlignment="1" applyProtection="1">
      <alignment horizontal="center"/>
      <protection locked="0"/>
    </xf>
    <xf numFmtId="0" fontId="0" fillId="13" borderId="25" xfId="0" applyFill="1" applyBorder="1" applyAlignment="1" applyProtection="1">
      <alignment horizontal="center"/>
      <protection locked="0"/>
    </xf>
    <xf numFmtId="0" fontId="0" fillId="13" borderId="19" xfId="0" applyFill="1" applyBorder="1" applyAlignment="1" applyProtection="1">
      <alignment horizontal="center"/>
      <protection locked="0"/>
    </xf>
    <xf numFmtId="0" fontId="0" fillId="13" borderId="12" xfId="0" applyFill="1" applyBorder="1" applyAlignment="1" applyProtection="1">
      <alignment horizontal="center"/>
      <protection/>
    </xf>
    <xf numFmtId="0" fontId="0" fillId="13" borderId="28" xfId="0" applyFill="1" applyBorder="1" applyAlignment="1" applyProtection="1">
      <alignment horizontal="center"/>
      <protection/>
    </xf>
    <xf numFmtId="0" fontId="0" fillId="13" borderId="20"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9" xfId="0" applyFill="1" applyBorder="1" applyAlignment="1" applyProtection="1">
      <alignment horizontal="center"/>
      <protection/>
    </xf>
    <xf numFmtId="0" fontId="59" fillId="33" borderId="17" xfId="0" applyFont="1" applyFill="1" applyBorder="1" applyAlignment="1">
      <alignment horizontal="center" vertical="center"/>
    </xf>
    <xf numFmtId="0" fontId="59" fillId="33" borderId="19" xfId="0" applyFont="1" applyFill="1" applyBorder="1" applyAlignment="1">
      <alignment horizontal="center" vertical="center"/>
    </xf>
    <xf numFmtId="0" fontId="57" fillId="34" borderId="12" xfId="0" applyFont="1" applyFill="1" applyBorder="1" applyAlignment="1">
      <alignment horizontal="center"/>
    </xf>
    <xf numFmtId="0" fontId="57" fillId="34" borderId="20" xfId="0" applyFont="1" applyFill="1" applyBorder="1" applyAlignment="1">
      <alignment horizontal="center"/>
    </xf>
    <xf numFmtId="0" fontId="57" fillId="34" borderId="17"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19" xfId="0" applyFont="1" applyFill="1" applyBorder="1" applyAlignment="1">
      <alignment horizontal="center" vertical="center" wrapText="1"/>
    </xf>
    <xf numFmtId="2" fontId="51" fillId="33" borderId="12" xfId="0" applyNumberFormat="1" applyFont="1" applyFill="1" applyBorder="1" applyAlignment="1">
      <alignment horizontal="center" vertical="center" wrapText="1"/>
    </xf>
    <xf numFmtId="2" fontId="51" fillId="33" borderId="28" xfId="0" applyNumberFormat="1" applyFont="1" applyFill="1" applyBorder="1" applyAlignment="1">
      <alignment horizontal="center" vertical="center" wrapText="1"/>
    </xf>
    <xf numFmtId="2" fontId="51" fillId="33" borderId="17" xfId="0" applyNumberFormat="1" applyFont="1" applyFill="1" applyBorder="1" applyAlignment="1">
      <alignment horizontal="center" vertical="center" wrapText="1"/>
    </xf>
    <xf numFmtId="2" fontId="51" fillId="33" borderId="25" xfId="0" applyNumberFormat="1"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26"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34" borderId="13" xfId="0" applyFont="1" applyFill="1" applyBorder="1" applyAlignment="1">
      <alignment horizontal="center" vertical="center" wrapText="1"/>
    </xf>
    <xf numFmtId="2" fontId="51" fillId="33" borderId="13" xfId="0" applyNumberFormat="1" applyFont="1" applyFill="1" applyBorder="1" applyAlignment="1">
      <alignment horizontal="center" vertical="center"/>
    </xf>
    <xf numFmtId="2" fontId="51" fillId="33" borderId="26" xfId="0" applyNumberFormat="1" applyFont="1" applyFill="1" applyBorder="1" applyAlignment="1">
      <alignment horizontal="center" vertical="center"/>
    </xf>
    <xf numFmtId="0" fontId="51" fillId="33" borderId="25" xfId="0" applyFont="1" applyFill="1" applyBorder="1" applyAlignment="1">
      <alignment horizontal="center" vertical="center" wrapText="1"/>
    </xf>
    <xf numFmtId="0" fontId="57" fillId="34" borderId="17" xfId="0" applyFont="1" applyFill="1" applyBorder="1" applyAlignment="1">
      <alignment horizontal="center" vertical="center"/>
    </xf>
    <xf numFmtId="0" fontId="57" fillId="34" borderId="25" xfId="0" applyFont="1" applyFill="1" applyBorder="1" applyAlignment="1">
      <alignment horizontal="center" vertical="center"/>
    </xf>
    <xf numFmtId="0" fontId="57" fillId="34" borderId="19"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25" xfId="0" applyFont="1" applyFill="1" applyBorder="1" applyAlignment="1">
      <alignment horizontal="center" vertical="center"/>
    </xf>
    <xf numFmtId="0" fontId="51" fillId="33" borderId="19" xfId="0" applyFont="1" applyFill="1" applyBorder="1" applyAlignment="1">
      <alignment horizontal="center" vertical="center"/>
    </xf>
    <xf numFmtId="0" fontId="51" fillId="34" borderId="24" xfId="0"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7" fillId="0" borderId="0" xfId="0" applyFont="1" applyAlignment="1" applyProtection="1">
      <alignment horizontal="center"/>
      <protection locked="0"/>
    </xf>
    <xf numFmtId="0" fontId="54" fillId="13" borderId="17" xfId="0" applyFont="1" applyFill="1" applyBorder="1" applyAlignment="1">
      <alignment horizontal="center" vertical="center"/>
    </xf>
    <xf numFmtId="0" fontId="54" fillId="13" borderId="19" xfId="0" applyFont="1" applyFill="1" applyBorder="1" applyAlignment="1">
      <alignment horizontal="center" vertical="center"/>
    </xf>
    <xf numFmtId="0" fontId="54" fillId="13" borderId="13" xfId="0" applyFont="1" applyFill="1" applyBorder="1" applyAlignment="1">
      <alignment horizontal="center" vertical="center"/>
    </xf>
    <xf numFmtId="0" fontId="54" fillId="13" borderId="14"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333375</xdr:colOff>
      <xdr:row>25</xdr:row>
      <xdr:rowOff>0</xdr:rowOff>
    </xdr:from>
    <xdr:ext cx="180975" cy="266700"/>
    <xdr:sp fLocksText="0">
      <xdr:nvSpPr>
        <xdr:cNvPr id="1" name="TextBox 1"/>
        <xdr:cNvSpPr txBox="1">
          <a:spLocks noChangeArrowheads="1"/>
        </xdr:cNvSpPr>
      </xdr:nvSpPr>
      <xdr:spPr>
        <a:xfrm>
          <a:off x="942975" y="4905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H27"/>
  <sheetViews>
    <sheetView tabSelected="1" zoomScalePageLayoutView="0" workbookViewId="0" topLeftCell="A1">
      <selection activeCell="J25" sqref="J25"/>
    </sheetView>
  </sheetViews>
  <sheetFormatPr defaultColWidth="9.140625" defaultRowHeight="12.75"/>
  <sheetData>
    <row r="1" spans="2:8" ht="12.75">
      <c r="B1" s="158" t="s">
        <v>148</v>
      </c>
      <c r="C1" s="158"/>
      <c r="D1" s="158"/>
      <c r="E1" s="158"/>
      <c r="F1" s="158"/>
      <c r="G1" s="158"/>
      <c r="H1" s="158"/>
    </row>
    <row r="2" spans="2:8" ht="12.75">
      <c r="B2" s="158"/>
      <c r="C2" s="158"/>
      <c r="D2" s="158"/>
      <c r="E2" s="158"/>
      <c r="F2" s="158"/>
      <c r="G2" s="158"/>
      <c r="H2" s="158"/>
    </row>
    <row r="5" spans="2:8" ht="12.75">
      <c r="B5" s="140" t="s">
        <v>147</v>
      </c>
      <c r="C5" s="141"/>
      <c r="D5" s="141"/>
      <c r="E5" s="141"/>
      <c r="F5" s="141"/>
      <c r="G5" s="141"/>
      <c r="H5" s="142"/>
    </row>
    <row r="6" spans="2:8" ht="12.75">
      <c r="B6" s="143"/>
      <c r="C6" s="144"/>
      <c r="D6" s="144"/>
      <c r="E6" s="144"/>
      <c r="F6" s="144"/>
      <c r="G6" s="144"/>
      <c r="H6" s="145"/>
    </row>
    <row r="7" spans="2:8" ht="12.75">
      <c r="B7" s="143"/>
      <c r="C7" s="144"/>
      <c r="D7" s="144"/>
      <c r="E7" s="144"/>
      <c r="F7" s="144"/>
      <c r="G7" s="144"/>
      <c r="H7" s="145"/>
    </row>
    <row r="8" spans="2:8" ht="12.75">
      <c r="B8" s="143"/>
      <c r="C8" s="144"/>
      <c r="D8" s="144"/>
      <c r="E8" s="144"/>
      <c r="F8" s="144"/>
      <c r="G8" s="144"/>
      <c r="H8" s="145"/>
    </row>
    <row r="9" spans="2:8" ht="12.75">
      <c r="B9" s="143"/>
      <c r="C9" s="144"/>
      <c r="D9" s="144"/>
      <c r="E9" s="144"/>
      <c r="F9" s="144"/>
      <c r="G9" s="144"/>
      <c r="H9" s="145"/>
    </row>
    <row r="10" spans="2:8" ht="12.75">
      <c r="B10" s="143"/>
      <c r="C10" s="144"/>
      <c r="D10" s="144"/>
      <c r="E10" s="144"/>
      <c r="F10" s="144"/>
      <c r="G10" s="144"/>
      <c r="H10" s="145"/>
    </row>
    <row r="11" spans="2:8" ht="12.75">
      <c r="B11" s="146"/>
      <c r="C11" s="147"/>
      <c r="D11" s="147"/>
      <c r="E11" s="147"/>
      <c r="F11" s="147"/>
      <c r="G11" s="147"/>
      <c r="H11" s="148"/>
    </row>
    <row r="13" spans="2:8" ht="20.25" customHeight="1">
      <c r="B13" s="149" t="s">
        <v>151</v>
      </c>
      <c r="C13" s="150"/>
      <c r="D13" s="150"/>
      <c r="E13" s="150"/>
      <c r="F13" s="150"/>
      <c r="G13" s="150"/>
      <c r="H13" s="151"/>
    </row>
    <row r="14" spans="2:8" ht="20.25" customHeight="1">
      <c r="B14" s="152"/>
      <c r="C14" s="153"/>
      <c r="D14" s="153"/>
      <c r="E14" s="153"/>
      <c r="F14" s="153"/>
      <c r="G14" s="153"/>
      <c r="H14" s="154"/>
    </row>
    <row r="15" spans="2:8" ht="20.25" customHeight="1">
      <c r="B15" s="152"/>
      <c r="C15" s="153"/>
      <c r="D15" s="153"/>
      <c r="E15" s="153"/>
      <c r="F15" s="153"/>
      <c r="G15" s="153"/>
      <c r="H15" s="154"/>
    </row>
    <row r="16" spans="2:8" ht="20.25" customHeight="1">
      <c r="B16" s="155"/>
      <c r="C16" s="156"/>
      <c r="D16" s="156"/>
      <c r="E16" s="156"/>
      <c r="F16" s="156"/>
      <c r="G16" s="156"/>
      <c r="H16" s="157"/>
    </row>
    <row r="17" spans="2:8" ht="18">
      <c r="B17" s="113"/>
      <c r="C17" s="113"/>
      <c r="D17" s="113"/>
      <c r="E17" s="113"/>
      <c r="F17" s="113"/>
      <c r="G17" s="113"/>
      <c r="H17" s="113"/>
    </row>
    <row r="18" spans="2:8" ht="14.25" customHeight="1">
      <c r="B18" s="113"/>
      <c r="C18" s="113"/>
      <c r="D18" s="113"/>
      <c r="E18" s="113"/>
      <c r="F18" s="113"/>
      <c r="G18" s="113"/>
      <c r="H18" s="113"/>
    </row>
    <row r="19" spans="2:8" ht="18" hidden="1">
      <c r="B19" s="113"/>
      <c r="C19" s="113"/>
      <c r="D19" s="113"/>
      <c r="E19" s="113"/>
      <c r="F19" s="113"/>
      <c r="G19" s="113"/>
      <c r="H19" s="113"/>
    </row>
    <row r="20" spans="2:8" ht="23.25" customHeight="1">
      <c r="B20" s="149" t="s">
        <v>150</v>
      </c>
      <c r="C20" s="150"/>
      <c r="D20" s="150"/>
      <c r="E20" s="150"/>
      <c r="F20" s="150"/>
      <c r="G20" s="150"/>
      <c r="H20" s="151"/>
    </row>
    <row r="21" spans="2:8" ht="23.25" customHeight="1">
      <c r="B21" s="152"/>
      <c r="C21" s="153"/>
      <c r="D21" s="153"/>
      <c r="E21" s="153"/>
      <c r="F21" s="153"/>
      <c r="G21" s="153"/>
      <c r="H21" s="154"/>
    </row>
    <row r="22" spans="2:8" ht="35.25" customHeight="1">
      <c r="B22" s="155"/>
      <c r="C22" s="156"/>
      <c r="D22" s="156"/>
      <c r="E22" s="156"/>
      <c r="F22" s="156"/>
      <c r="G22" s="156"/>
      <c r="H22" s="157"/>
    </row>
    <row r="24" spans="2:8" ht="12.75" customHeight="1">
      <c r="B24" s="140" t="s">
        <v>156</v>
      </c>
      <c r="C24" s="141"/>
      <c r="D24" s="141"/>
      <c r="E24" s="141"/>
      <c r="F24" s="141"/>
      <c r="G24" s="141"/>
      <c r="H24" s="142"/>
    </row>
    <row r="25" spans="2:8" ht="12.75">
      <c r="B25" s="143"/>
      <c r="C25" s="144"/>
      <c r="D25" s="144"/>
      <c r="E25" s="144"/>
      <c r="F25" s="144"/>
      <c r="G25" s="144"/>
      <c r="H25" s="145"/>
    </row>
    <row r="26" spans="2:8" ht="12.75">
      <c r="B26" s="143"/>
      <c r="C26" s="144"/>
      <c r="D26" s="144"/>
      <c r="E26" s="144"/>
      <c r="F26" s="144"/>
      <c r="G26" s="144"/>
      <c r="H26" s="145"/>
    </row>
    <row r="27" spans="2:8" ht="12.75">
      <c r="B27" s="143"/>
      <c r="C27" s="144"/>
      <c r="D27" s="144"/>
      <c r="E27" s="144"/>
      <c r="F27" s="144"/>
      <c r="G27" s="144"/>
      <c r="H27" s="145"/>
    </row>
  </sheetData>
  <sheetProtection/>
  <mergeCells count="5">
    <mergeCell ref="B5:H11"/>
    <mergeCell ref="B13:H16"/>
    <mergeCell ref="B20:H22"/>
    <mergeCell ref="B1:H2"/>
    <mergeCell ref="B24:H27"/>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7"/>
  <sheetViews>
    <sheetView zoomScalePageLayoutView="0" workbookViewId="0" topLeftCell="A1">
      <selection activeCell="C11" sqref="C11"/>
    </sheetView>
  </sheetViews>
  <sheetFormatPr defaultColWidth="9.140625" defaultRowHeight="12.75"/>
  <cols>
    <col min="1" max="1" width="36.00390625" style="116" customWidth="1"/>
    <col min="2" max="2" width="15.28125" style="116" customWidth="1"/>
    <col min="3" max="3" width="16.8515625" style="116" customWidth="1"/>
    <col min="4" max="4" width="12.8515625" style="116" customWidth="1"/>
    <col min="5" max="5" width="11.57421875" style="116" customWidth="1"/>
    <col min="6" max="14" width="9.140625" style="116" customWidth="1"/>
    <col min="15" max="15" width="0" style="116" hidden="1" customWidth="1"/>
    <col min="16" max="16384" width="9.140625" style="116" customWidth="1"/>
  </cols>
  <sheetData>
    <row r="1" spans="1:4" ht="35.25" customHeight="1" thickBot="1">
      <c r="A1" s="134" t="s">
        <v>149</v>
      </c>
      <c r="B1" s="162"/>
      <c r="C1" s="163"/>
      <c r="D1" s="164"/>
    </row>
    <row r="2" ht="13.5" thickBot="1">
      <c r="O2" s="116" t="s">
        <v>1</v>
      </c>
    </row>
    <row r="3" spans="1:15" ht="27" thickBot="1">
      <c r="A3" s="165" t="s">
        <v>105</v>
      </c>
      <c r="B3" s="166"/>
      <c r="C3" s="166"/>
      <c r="D3" s="167"/>
      <c r="O3" s="116" t="s">
        <v>2</v>
      </c>
    </row>
    <row r="4" spans="1:4" ht="13.5" thickBot="1">
      <c r="A4" s="117" t="s">
        <v>106</v>
      </c>
      <c r="B4" s="168" t="s">
        <v>1</v>
      </c>
      <c r="C4" s="169"/>
      <c r="D4" s="170"/>
    </row>
    <row r="5" spans="1:4" ht="13.5" thickBot="1">
      <c r="A5" s="117" t="s">
        <v>108</v>
      </c>
      <c r="B5" s="171">
        <v>150</v>
      </c>
      <c r="C5" s="172"/>
      <c r="D5" s="173"/>
    </row>
    <row r="6" spans="1:4" ht="13.5" thickBot="1">
      <c r="A6" s="117" t="s">
        <v>109</v>
      </c>
      <c r="B6" s="174">
        <v>2</v>
      </c>
      <c r="C6" s="175"/>
      <c r="D6" s="176"/>
    </row>
    <row r="7" spans="1:4" ht="13.5" thickBot="1">
      <c r="A7" s="118" t="s">
        <v>107</v>
      </c>
      <c r="B7" s="159"/>
      <c r="C7" s="160"/>
      <c r="D7" s="161"/>
    </row>
    <row r="8" spans="1:4" ht="29.25" customHeight="1" thickBot="1">
      <c r="A8" s="119" t="s">
        <v>111</v>
      </c>
      <c r="B8" s="120" t="s">
        <v>3</v>
      </c>
      <c r="C8" s="121" t="s">
        <v>110</v>
      </c>
      <c r="D8" s="122" t="s">
        <v>8</v>
      </c>
    </row>
    <row r="9" spans="1:4" ht="12.75">
      <c r="A9" s="118" t="s">
        <v>5</v>
      </c>
      <c r="B9" s="114"/>
      <c r="C9" s="123">
        <f>IF(B9&lt;&gt;0,(B7/((1+(B6/100))^B9)),0)</f>
        <v>0</v>
      </c>
      <c r="D9" s="124" t="str">
        <f>IF(B9&lt;=$B$5,"Yes","No")</f>
        <v>Yes</v>
      </c>
    </row>
    <row r="10" spans="1:12" ht="12.75">
      <c r="A10" s="118" t="s">
        <v>6</v>
      </c>
      <c r="B10" s="114"/>
      <c r="C10" s="123">
        <f>IF(B10&lt;&gt;0,(B7/((1+(B6/100))^B10)),0)</f>
        <v>0</v>
      </c>
      <c r="D10" s="124" t="str">
        <f>IF(B10&lt;=$B$5,"Yes","No")</f>
        <v>Yes</v>
      </c>
      <c r="L10" s="125"/>
    </row>
    <row r="11" spans="1:4" ht="13.5" thickBot="1">
      <c r="A11" s="126" t="s">
        <v>7</v>
      </c>
      <c r="B11" s="115"/>
      <c r="C11" s="127">
        <f>IF(B11&lt;&gt;D119,(B7/((1+(B6/100))^B11)),0)</f>
        <v>0</v>
      </c>
      <c r="D11" s="128" t="str">
        <f>IF(B11&lt;=$B$5,"Yes","No")</f>
        <v>Yes</v>
      </c>
    </row>
    <row r="12" spans="1:4" ht="26.25" thickBot="1">
      <c r="A12" s="129" t="s">
        <v>4</v>
      </c>
      <c r="B12" s="130"/>
      <c r="C12" s="131">
        <f>SUMIF(B9:B11,"&lt;="&amp;B5,C9:C11)</f>
        <v>0</v>
      </c>
      <c r="D12" s="132"/>
    </row>
    <row r="13" ht="12.75">
      <c r="L13" s="133"/>
    </row>
    <row r="15" ht="12.75">
      <c r="F15" s="125"/>
    </row>
    <row r="16" ht="12.75">
      <c r="F16" s="125"/>
    </row>
    <row r="17" ht="12.75">
      <c r="F17" s="125"/>
    </row>
  </sheetData>
  <sheetProtection/>
  <mergeCells count="6">
    <mergeCell ref="B7:D7"/>
    <mergeCell ref="B1:D1"/>
    <mergeCell ref="A3:D3"/>
    <mergeCell ref="B4:D4"/>
    <mergeCell ref="B5:D5"/>
    <mergeCell ref="B6:D6"/>
  </mergeCells>
  <dataValidations count="2">
    <dataValidation type="list" allowBlank="1" showInputMessage="1" showErrorMessage="1" sqref="B4">
      <formula1>$O$2:$O$3</formula1>
    </dataValidation>
    <dataValidation type="list" allowBlank="1" showInputMessage="1" showErrorMessage="1" sqref="B5:D5">
      <formula1>periods</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W88"/>
  <sheetViews>
    <sheetView zoomScale="70" zoomScaleNormal="70" zoomScalePageLayoutView="0" workbookViewId="0" topLeftCell="F1">
      <selection activeCell="J24" sqref="J24"/>
    </sheetView>
  </sheetViews>
  <sheetFormatPr defaultColWidth="9.140625" defaultRowHeight="12.75"/>
  <cols>
    <col min="1" max="1" width="29.140625" style="1" customWidth="1"/>
    <col min="3" max="3" width="17.140625" style="0" customWidth="1"/>
    <col min="4" max="4" width="14.8515625" style="0" customWidth="1"/>
    <col min="5" max="5" width="14.57421875" style="0" customWidth="1"/>
    <col min="6" max="6" width="17.7109375" style="0" customWidth="1"/>
    <col min="7" max="8" width="15.8515625" style="0" customWidth="1"/>
    <col min="9" max="9" width="14.140625" style="0" customWidth="1"/>
    <col min="13" max="13" width="15.28125" style="0" customWidth="1"/>
    <col min="14" max="14" width="16.57421875" style="0" customWidth="1"/>
    <col min="16" max="16" width="14.8515625" style="0" customWidth="1"/>
    <col min="17" max="17" width="15.8515625" style="0" customWidth="1"/>
    <col min="19" max="19" width="14.8515625" style="0" customWidth="1"/>
    <col min="20" max="20" width="15.8515625" style="0" customWidth="1"/>
    <col min="22" max="22" width="16.28125" style="0" customWidth="1"/>
    <col min="23" max="23" width="18.140625" style="0" customWidth="1"/>
  </cols>
  <sheetData>
    <row r="1" ht="13.5" thickBot="1"/>
    <row r="2" spans="1:23" ht="27.75" customHeight="1" thickBot="1">
      <c r="A2" s="181" t="s">
        <v>9</v>
      </c>
      <c r="B2" s="182"/>
      <c r="C2" s="182"/>
      <c r="D2" s="182"/>
      <c r="E2" s="182"/>
      <c r="F2" s="182"/>
      <c r="G2" s="182"/>
      <c r="H2" s="182"/>
      <c r="I2" s="183"/>
      <c r="M2" s="179" t="s">
        <v>103</v>
      </c>
      <c r="N2" s="180"/>
      <c r="P2" s="179" t="s">
        <v>60</v>
      </c>
      <c r="Q2" s="180"/>
      <c r="S2" s="179" t="s">
        <v>154</v>
      </c>
      <c r="T2" s="180"/>
      <c r="V2" s="179" t="s">
        <v>104</v>
      </c>
      <c r="W2" s="180"/>
    </row>
    <row r="3" spans="1:23" ht="39" thickBot="1">
      <c r="A3" s="22" t="s">
        <v>10</v>
      </c>
      <c r="B3" s="20" t="s">
        <v>11</v>
      </c>
      <c r="C3" s="20" t="s">
        <v>12</v>
      </c>
      <c r="D3" s="20" t="s">
        <v>13</v>
      </c>
      <c r="E3" s="21" t="s">
        <v>15</v>
      </c>
      <c r="F3" s="23" t="s">
        <v>14</v>
      </c>
      <c r="G3" s="23" t="s">
        <v>63</v>
      </c>
      <c r="H3" s="23" t="s">
        <v>64</v>
      </c>
      <c r="I3" s="23" t="s">
        <v>16</v>
      </c>
      <c r="J3" s="1"/>
      <c r="K3" s="1"/>
      <c r="L3" s="1"/>
      <c r="M3" s="20" t="s">
        <v>61</v>
      </c>
      <c r="N3" s="21" t="s">
        <v>62</v>
      </c>
      <c r="P3" s="20" t="s">
        <v>61</v>
      </c>
      <c r="Q3" s="21" t="s">
        <v>62</v>
      </c>
      <c r="S3" s="20" t="s">
        <v>61</v>
      </c>
      <c r="T3" s="21" t="s">
        <v>62</v>
      </c>
      <c r="V3" s="20" t="s">
        <v>61</v>
      </c>
      <c r="W3" s="21" t="s">
        <v>62</v>
      </c>
    </row>
    <row r="4" spans="1:23" ht="13.5" thickBot="1">
      <c r="A4" s="24" t="s">
        <v>17</v>
      </c>
      <c r="B4" s="25"/>
      <c r="C4" s="25"/>
      <c r="D4" s="25"/>
      <c r="E4" s="26"/>
      <c r="F4" s="27"/>
      <c r="G4" s="110"/>
      <c r="H4" s="27"/>
      <c r="I4" s="45"/>
      <c r="M4" s="83">
        <v>1</v>
      </c>
      <c r="N4" s="139">
        <f>IF('Sum A'!$B$5=60,Q4,IF('Sum A'!$B$5=120,T4,W4))</f>
        <v>47.435845201666055</v>
      </c>
      <c r="P4" s="19">
        <v>1</v>
      </c>
      <c r="Q4" s="136">
        <v>34.76088667704649</v>
      </c>
      <c r="S4" s="19">
        <v>1</v>
      </c>
      <c r="T4" s="139">
        <v>45.355388502603624</v>
      </c>
      <c r="V4" s="19">
        <v>1</v>
      </c>
      <c r="W4" s="139">
        <v>47.435845201666055</v>
      </c>
    </row>
    <row r="5" spans="1:23" ht="13.5" thickBot="1">
      <c r="A5" s="28" t="s">
        <v>18</v>
      </c>
      <c r="B5" s="9" t="s">
        <v>53</v>
      </c>
      <c r="C5" s="9" t="s">
        <v>8</v>
      </c>
      <c r="D5" s="9"/>
      <c r="E5" s="12"/>
      <c r="F5" s="10" t="s">
        <v>53</v>
      </c>
      <c r="G5" s="111"/>
      <c r="H5" s="10">
        <f>IF(G5&lt;&gt;0,(VLOOKUP(G5,$M$4:$N$31,2)),1)</f>
        <v>1</v>
      </c>
      <c r="I5" s="46">
        <f>IF(E5&lt;&gt;0,(H5*E5),"")</f>
      </c>
      <c r="M5" s="17">
        <v>2</v>
      </c>
      <c r="N5" s="139">
        <f>IF('Sum A'!$B$5=60,Q5,IF('Sum A'!$B$5=120,T5,W5))</f>
        <v>23.4830916839931</v>
      </c>
      <c r="P5" s="17">
        <v>2</v>
      </c>
      <c r="Q5" s="137">
        <v>17.20835974111213</v>
      </c>
      <c r="S5" s="17">
        <v>2</v>
      </c>
      <c r="T5" s="137">
        <v>22.4531626250513</v>
      </c>
      <c r="V5" s="17">
        <v>2</v>
      </c>
      <c r="W5" s="137">
        <v>23.4830916839931</v>
      </c>
    </row>
    <row r="6" spans="1:23" ht="13.5" thickBot="1">
      <c r="A6" s="3" t="s">
        <v>19</v>
      </c>
      <c r="B6" s="8"/>
      <c r="C6" s="8"/>
      <c r="D6" s="8"/>
      <c r="E6" s="11"/>
      <c r="F6" s="4"/>
      <c r="G6" s="112"/>
      <c r="H6" s="4"/>
      <c r="I6" s="47"/>
      <c r="M6" s="17">
        <v>5</v>
      </c>
      <c r="N6" s="139">
        <f>IF('Sum A'!$B$5=60,Q6,IF('Sum A'!$B$5=120,T6,W6))</f>
        <v>9.11519583693337</v>
      </c>
      <c r="P6" s="17">
        <v>5</v>
      </c>
      <c r="Q6" s="137">
        <v>6.679596161503584</v>
      </c>
      <c r="S6" s="17">
        <v>5</v>
      </c>
      <c r="T6" s="137">
        <v>8.715418618637951</v>
      </c>
      <c r="V6" s="17">
        <v>5</v>
      </c>
      <c r="W6" s="137">
        <v>9.11519583693337</v>
      </c>
    </row>
    <row r="7" spans="1:23" ht="13.5" thickBot="1">
      <c r="A7" s="5" t="s">
        <v>18</v>
      </c>
      <c r="B7" s="8" t="s">
        <v>53</v>
      </c>
      <c r="C7" s="8" t="s">
        <v>8</v>
      </c>
      <c r="D7" s="8"/>
      <c r="E7" s="11"/>
      <c r="F7" s="4" t="s">
        <v>53</v>
      </c>
      <c r="G7" s="112"/>
      <c r="H7" s="10">
        <f>IF(G7&lt;&gt;0,(VLOOKUP(G7,$M$4:$N$31,2)),1)</f>
        <v>1</v>
      </c>
      <c r="I7" s="46">
        <f>IF(E7&lt;&gt;0,(H7*E7),"")</f>
      </c>
      <c r="M7" s="17">
        <v>8</v>
      </c>
      <c r="N7" s="139">
        <f>IF('Sum A'!$B$5=60,Q7,IF('Sum A'!$B$5=120,T7,W7))</f>
        <v>5.489049879344382</v>
      </c>
      <c r="P7" s="17">
        <v>8</v>
      </c>
      <c r="Q7" s="137">
        <v>3.9036251271240983</v>
      </c>
      <c r="S7" s="17">
        <v>8</v>
      </c>
      <c r="T7" s="137">
        <v>5.284347204072117</v>
      </c>
      <c r="V7" s="17">
        <v>8</v>
      </c>
      <c r="W7" s="137">
        <v>5.489049879344382</v>
      </c>
    </row>
    <row r="8" spans="1:23" ht="13.5" thickBot="1">
      <c r="A8" s="24" t="s">
        <v>20</v>
      </c>
      <c r="B8" s="25"/>
      <c r="C8" s="25"/>
      <c r="D8" s="25"/>
      <c r="E8" s="26"/>
      <c r="F8" s="27"/>
      <c r="G8" s="110"/>
      <c r="H8" s="10">
        <f>IF(G8&lt;&gt;0,(VLOOKUP(G8,$M$4:$N$31,2)),1)</f>
        <v>1</v>
      </c>
      <c r="I8" s="45"/>
      <c r="M8" s="17">
        <v>10</v>
      </c>
      <c r="N8" s="139">
        <f>IF('Sum A'!$B$5=60,Q8,IF('Sum A'!$B$5=120,T8,W8))</f>
        <v>4.332151038624794</v>
      </c>
      <c r="P8" s="17">
        <v>10</v>
      </c>
      <c r="Q8" s="137">
        <v>3.1745910857343937</v>
      </c>
      <c r="S8" s="17">
        <v>10</v>
      </c>
      <c r="T8" s="137">
        <v>4.142150151925283</v>
      </c>
      <c r="V8" s="17">
        <v>10</v>
      </c>
      <c r="W8" s="137">
        <v>4.332151038624794</v>
      </c>
    </row>
    <row r="9" spans="1:23" ht="13.5" thickBot="1">
      <c r="A9" s="28" t="s">
        <v>18</v>
      </c>
      <c r="B9" s="9" t="s">
        <v>53</v>
      </c>
      <c r="C9" s="9" t="s">
        <v>8</v>
      </c>
      <c r="D9" s="9"/>
      <c r="E9" s="12"/>
      <c r="F9" s="10" t="s">
        <v>53</v>
      </c>
      <c r="G9" s="111"/>
      <c r="H9" s="10">
        <f>IF(G9&lt;&gt;0,(VLOOKUP(G9,$M$4:$N$31,2)),1)</f>
        <v>1</v>
      </c>
      <c r="I9" s="46">
        <f>IF(E9&lt;&gt;0,(H9*E9),"")</f>
      </c>
      <c r="M9" s="17">
        <v>12</v>
      </c>
      <c r="N9" s="139">
        <f>IF('Sum A'!$B$5=60,Q9,IF('Sum A'!$B$5=120,T9,W9))</f>
        <v>3.512677456231064</v>
      </c>
      <c r="P9" s="17">
        <v>12</v>
      </c>
      <c r="Q9" s="137">
        <v>2.591757688896715</v>
      </c>
      <c r="S9" s="17">
        <v>12</v>
      </c>
      <c r="T9" s="137">
        <v>3.381679471431378</v>
      </c>
      <c r="V9" s="17">
        <v>12</v>
      </c>
      <c r="W9" s="137">
        <v>3.512677456231064</v>
      </c>
    </row>
    <row r="10" spans="1:23" ht="13.5" thickBot="1">
      <c r="A10" s="3" t="s">
        <v>21</v>
      </c>
      <c r="B10" s="8"/>
      <c r="C10" s="8"/>
      <c r="D10" s="37"/>
      <c r="E10" s="11"/>
      <c r="F10" s="4"/>
      <c r="G10" s="36"/>
      <c r="H10" s="4"/>
      <c r="I10" s="47"/>
      <c r="M10" s="17">
        <v>13</v>
      </c>
      <c r="N10" s="139">
        <f>IF('Sum A'!$B$5=60,Q10,IF('Sum A'!$B$5=120,T10,W10))</f>
        <v>3.205281301773904</v>
      </c>
      <c r="P10" s="17">
        <v>13</v>
      </c>
      <c r="Q10" s="137">
        <v>2.1896610350605448</v>
      </c>
      <c r="S10" s="17">
        <v>13</v>
      </c>
      <c r="T10" s="137">
        <v>3.070169161534903</v>
      </c>
      <c r="V10" s="17">
        <v>13</v>
      </c>
      <c r="W10" s="137">
        <v>3.205281301773904</v>
      </c>
    </row>
    <row r="11" spans="1:23" ht="13.5" thickBot="1">
      <c r="A11" s="5" t="s">
        <v>48</v>
      </c>
      <c r="B11" s="8" t="s">
        <v>54</v>
      </c>
      <c r="C11" s="8">
        <v>894</v>
      </c>
      <c r="D11" s="37"/>
      <c r="E11" s="12">
        <f>D11*C11</f>
        <v>0</v>
      </c>
      <c r="F11" s="4" t="s">
        <v>59</v>
      </c>
      <c r="G11" s="36"/>
      <c r="H11" s="10">
        <f>IF(G11&lt;&gt;0,(VLOOKUP(G11,$M$4:$N$31,2)),1)</f>
        <v>1</v>
      </c>
      <c r="I11" s="46">
        <f>IF(E11&lt;&gt;0,(H11*E11),"")</f>
      </c>
      <c r="M11" s="17">
        <v>15</v>
      </c>
      <c r="N11" s="139">
        <f>IF('Sum A'!$B$5=60,Q11,IF('Sum A'!$B$5=120,T11,W11))</f>
        <v>2.743000150375817</v>
      </c>
      <c r="P11" s="17">
        <v>15</v>
      </c>
      <c r="Q11" s="137">
        <v>2.0100646879374326</v>
      </c>
      <c r="S11" s="17">
        <v>15</v>
      </c>
      <c r="T11" s="137">
        <v>2.622696759256347</v>
      </c>
      <c r="V11" s="17">
        <v>15</v>
      </c>
      <c r="W11" s="137">
        <v>2.743000150375817</v>
      </c>
    </row>
    <row r="12" spans="1:23" ht="26.25" thickBot="1">
      <c r="A12" s="24" t="s">
        <v>22</v>
      </c>
      <c r="B12" s="25"/>
      <c r="C12" s="25"/>
      <c r="D12" s="38"/>
      <c r="E12" s="26"/>
      <c r="F12" s="27"/>
      <c r="G12" s="34"/>
      <c r="H12" s="27"/>
      <c r="I12" s="45"/>
      <c r="M12" s="17">
        <v>17</v>
      </c>
      <c r="N12" s="139">
        <f>IF('Sum A'!$B$5=60,Q12,IF('Sum A'!$B$5=120,T12,W12))</f>
        <v>2.3294266891443676</v>
      </c>
      <c r="P12" s="17">
        <v>17</v>
      </c>
      <c r="Q12" s="137">
        <v>1.5884337497845187</v>
      </c>
      <c r="S12" s="17">
        <v>17</v>
      </c>
      <c r="T12" s="137">
        <v>2.2617597331122195</v>
      </c>
      <c r="V12" s="17">
        <v>17</v>
      </c>
      <c r="W12" s="137">
        <v>2.3294266891443676</v>
      </c>
    </row>
    <row r="13" spans="1:23" ht="15" thickBot="1">
      <c r="A13" s="5" t="s">
        <v>49</v>
      </c>
      <c r="B13" s="8" t="s">
        <v>55</v>
      </c>
      <c r="C13" s="8">
        <v>2122</v>
      </c>
      <c r="D13" s="37"/>
      <c r="E13" s="11">
        <f>D13*C13</f>
        <v>0</v>
      </c>
      <c r="F13" s="4">
        <v>55</v>
      </c>
      <c r="G13" s="36"/>
      <c r="H13" s="10">
        <f>IF(G13&lt;&gt;0,(VLOOKUP(G13,$M$4:$N$31,2)),1)</f>
        <v>1</v>
      </c>
      <c r="I13" s="47">
        <f>IF(G13&lt;&gt;0,(H13*E13),"")</f>
      </c>
      <c r="M13" s="17">
        <v>20</v>
      </c>
      <c r="N13" s="139">
        <f>IF('Sum A'!$B$5=60,Q13,IF('Sum A'!$B$5=120,T13,W13))</f>
        <v>1.929192747888131</v>
      </c>
      <c r="P13" s="17">
        <v>20</v>
      </c>
      <c r="Q13" s="137">
        <v>1.4306440147523645</v>
      </c>
      <c r="S13" s="17">
        <v>20</v>
      </c>
      <c r="T13" s="137">
        <v>1.866678940064694</v>
      </c>
      <c r="V13" s="17">
        <v>20</v>
      </c>
      <c r="W13" s="137">
        <v>1.929192747888131</v>
      </c>
    </row>
    <row r="14" spans="1:23" ht="15" thickBot="1">
      <c r="A14" s="29" t="s">
        <v>50</v>
      </c>
      <c r="B14" s="9" t="s">
        <v>55</v>
      </c>
      <c r="C14" s="9">
        <v>2122</v>
      </c>
      <c r="D14" s="39"/>
      <c r="E14" s="12">
        <f aca="true" t="shared" si="0" ref="E14:E74">D14*C14</f>
        <v>0</v>
      </c>
      <c r="F14" s="10">
        <v>32</v>
      </c>
      <c r="G14" s="35"/>
      <c r="H14" s="10">
        <f>IF(G14&lt;&gt;0,(VLOOKUP(G14,$M$4:$N$31,2)),1)</f>
        <v>1</v>
      </c>
      <c r="I14" s="46">
        <f>IF(E14&lt;&gt;0,(H14*E14),"")</f>
      </c>
      <c r="M14" s="17">
        <v>23</v>
      </c>
      <c r="N14" s="139">
        <f>IF('Sum A'!$B$5=60,Q14,IF('Sum A'!$B$5=120,T14,W14))</f>
        <v>1.6206653264690336</v>
      </c>
      <c r="P14" s="17">
        <v>23</v>
      </c>
      <c r="Q14" s="137">
        <v>1.0363096456485346</v>
      </c>
      <c r="S14" s="17">
        <v>23</v>
      </c>
      <c r="T14" s="137">
        <v>1.5556259608095295</v>
      </c>
      <c r="V14" s="17">
        <v>23</v>
      </c>
      <c r="W14" s="137">
        <v>1.6206653264690336</v>
      </c>
    </row>
    <row r="15" spans="1:23" ht="13.5" thickBot="1">
      <c r="A15" s="3" t="s">
        <v>23</v>
      </c>
      <c r="B15" s="8"/>
      <c r="C15" s="8"/>
      <c r="D15" s="37"/>
      <c r="E15" s="11"/>
      <c r="F15" s="4"/>
      <c r="G15" s="36"/>
      <c r="H15" s="4"/>
      <c r="I15" s="47"/>
      <c r="M15" s="17">
        <v>28</v>
      </c>
      <c r="N15" s="139">
        <f>IF('Sum A'!$B$5=60,Q15,IF('Sum A'!$B$5=120,T15,W15))</f>
        <v>1.2651222245721403</v>
      </c>
      <c r="P15" s="17">
        <v>28</v>
      </c>
      <c r="Q15" s="137">
        <v>0.9042806799076875</v>
      </c>
      <c r="S15" s="17">
        <v>28</v>
      </c>
      <c r="T15" s="137">
        <v>1.2026084167487032</v>
      </c>
      <c r="V15" s="17">
        <v>28</v>
      </c>
      <c r="W15" s="137">
        <v>1.2651222245721403</v>
      </c>
    </row>
    <row r="16" spans="1:23" ht="13.5" thickBot="1">
      <c r="A16" s="5" t="s">
        <v>49</v>
      </c>
      <c r="B16" s="8" t="s">
        <v>56</v>
      </c>
      <c r="C16" s="8">
        <v>894</v>
      </c>
      <c r="D16" s="37"/>
      <c r="E16" s="11">
        <f t="shared" si="0"/>
        <v>0</v>
      </c>
      <c r="F16" s="4">
        <v>44</v>
      </c>
      <c r="G16" s="36"/>
      <c r="H16" s="10">
        <f>IF(G16&lt;&gt;0,(VLOOKUP(G16,$M$4:$N$31,2)),1)</f>
        <v>1</v>
      </c>
      <c r="I16" s="47">
        <f>IF(G16&lt;&gt;0,(H16*E16),"")</f>
      </c>
      <c r="M16" s="17">
        <v>30</v>
      </c>
      <c r="N16" s="139">
        <f>IF('Sum A'!$B$5=60,Q16,IF('Sum A'!$B$5=120,T16,W16))</f>
        <v>1.1692898981429602</v>
      </c>
      <c r="P16" s="17">
        <v>30</v>
      </c>
      <c r="Q16" s="137">
        <v>0.8568531554389822</v>
      </c>
      <c r="S16" s="17">
        <v>30</v>
      </c>
      <c r="T16" s="137">
        <v>1.1180068021762815</v>
      </c>
      <c r="V16" s="17">
        <v>30</v>
      </c>
      <c r="W16" s="137">
        <v>1.1692898981429602</v>
      </c>
    </row>
    <row r="17" spans="1:23" ht="13.5" thickBot="1">
      <c r="A17" s="2" t="s">
        <v>50</v>
      </c>
      <c r="B17" s="8" t="s">
        <v>56</v>
      </c>
      <c r="C17" s="8">
        <v>894</v>
      </c>
      <c r="D17" s="37"/>
      <c r="E17" s="11">
        <f t="shared" si="0"/>
        <v>0</v>
      </c>
      <c r="F17" s="4">
        <v>30</v>
      </c>
      <c r="G17" s="36"/>
      <c r="H17" s="10">
        <f>IF(G17&lt;&gt;0,(VLOOKUP(G17,$M$4:$N$31,2)),1)</f>
        <v>1</v>
      </c>
      <c r="I17" s="46">
        <f>IF(E17&lt;&gt;0,(H17*E17),"")</f>
      </c>
      <c r="M17" s="17">
        <v>32</v>
      </c>
      <c r="N17" s="139">
        <f>IF('Sum A'!$B$5=60,Q17,IF('Sum A'!$B$5=120,T17,W17))</f>
        <v>1.0408989529739987</v>
      </c>
      <c r="P17" s="17">
        <v>32</v>
      </c>
      <c r="Q17" s="137">
        <v>0.5306333035177931</v>
      </c>
      <c r="S17" s="17">
        <v>32</v>
      </c>
      <c r="T17" s="137">
        <v>0.9616163291550646</v>
      </c>
      <c r="V17" s="17">
        <v>32</v>
      </c>
      <c r="W17" s="137">
        <v>1.0408989529739987</v>
      </c>
    </row>
    <row r="18" spans="1:23" ht="26.25" thickBot="1">
      <c r="A18" s="24" t="s">
        <v>24</v>
      </c>
      <c r="B18" s="25"/>
      <c r="C18" s="25"/>
      <c r="D18" s="38"/>
      <c r="E18" s="26"/>
      <c r="F18" s="27"/>
      <c r="G18" s="34"/>
      <c r="H18" s="27"/>
      <c r="I18" s="45"/>
      <c r="M18" s="17">
        <v>35</v>
      </c>
      <c r="N18" s="139">
        <f>IF('Sum A'!$B$5=60,Q18,IF('Sum A'!$B$5=120,T18,W18))</f>
        <v>0.9375897464677699</v>
      </c>
      <c r="P18" s="17">
        <v>35</v>
      </c>
      <c r="Q18" s="137">
        <v>0.5000276133592974</v>
      </c>
      <c r="S18" s="17">
        <v>35</v>
      </c>
      <c r="T18" s="137">
        <v>0.8750759386443328</v>
      </c>
      <c r="V18" s="17">
        <v>35</v>
      </c>
      <c r="W18" s="137">
        <v>0.9375897464677699</v>
      </c>
    </row>
    <row r="19" spans="1:23" ht="15" thickBot="1">
      <c r="A19" s="5" t="s">
        <v>49</v>
      </c>
      <c r="B19" s="8" t="s">
        <v>55</v>
      </c>
      <c r="C19" s="8">
        <v>1788</v>
      </c>
      <c r="D19" s="37"/>
      <c r="E19" s="11">
        <f t="shared" si="0"/>
        <v>0</v>
      </c>
      <c r="F19" s="4">
        <v>55</v>
      </c>
      <c r="G19" s="36"/>
      <c r="H19" s="10">
        <f>IF(G19&lt;&gt;0,(VLOOKUP(G19,$M$4:$N$31,2)),1)</f>
        <v>1</v>
      </c>
      <c r="I19" s="47">
        <f>IF(G19&lt;&gt;0,(H19*E19),"")</f>
      </c>
      <c r="M19" s="17">
        <v>37</v>
      </c>
      <c r="N19" s="139">
        <f>IF('Sum A'!$B$5=60,Q19,IF('Sum A'!$B$5=120,T19,W19))</f>
        <v>0.875967546141893</v>
      </c>
      <c r="P19" s="17">
        <v>37</v>
      </c>
      <c r="Q19" s="137">
        <v>0.4806109317178944</v>
      </c>
      <c r="S19" s="17">
        <v>37</v>
      </c>
      <c r="T19" s="137">
        <v>0.8226126130981603</v>
      </c>
      <c r="V19" s="17">
        <v>37</v>
      </c>
      <c r="W19" s="137">
        <v>0.875967546141893</v>
      </c>
    </row>
    <row r="20" spans="1:23" ht="15" thickBot="1">
      <c r="A20" s="29" t="s">
        <v>50</v>
      </c>
      <c r="B20" s="9" t="s">
        <v>55</v>
      </c>
      <c r="C20" s="9">
        <v>1788</v>
      </c>
      <c r="D20" s="39"/>
      <c r="E20" s="12">
        <f t="shared" si="0"/>
        <v>0</v>
      </c>
      <c r="F20" s="10">
        <v>28</v>
      </c>
      <c r="G20" s="35"/>
      <c r="H20" s="10">
        <f>IF(G20&lt;&gt;0,(VLOOKUP(G20,$M$4:$N$31,2)),1)</f>
        <v>1</v>
      </c>
      <c r="I20" s="46">
        <f>IF(E20&lt;&gt;0,(H20*E20),"")</f>
      </c>
      <c r="M20" s="17">
        <v>38</v>
      </c>
      <c r="N20" s="139">
        <f>IF('Sum A'!$B$5=60,Q20,IF('Sum A'!$B$5=120,T20,W20))</f>
        <v>0.7978162924641521</v>
      </c>
      <c r="P20" s="17">
        <v>38</v>
      </c>
      <c r="Q20" s="137">
        <v>0.4711871879587199</v>
      </c>
      <c r="S20" s="17">
        <v>38</v>
      </c>
      <c r="T20" s="137">
        <v>0.7978162924641521</v>
      </c>
      <c r="V20" s="17">
        <v>38</v>
      </c>
      <c r="W20" s="137">
        <v>0.7978162924641521</v>
      </c>
    </row>
    <row r="21" spans="1:23" ht="26.25" thickBot="1">
      <c r="A21" s="3" t="s">
        <v>25</v>
      </c>
      <c r="B21" s="8"/>
      <c r="C21" s="8"/>
      <c r="D21" s="37"/>
      <c r="E21" s="11"/>
      <c r="F21" s="4"/>
      <c r="G21" s="36"/>
      <c r="H21" s="4"/>
      <c r="I21" s="47"/>
      <c r="M21" s="17">
        <v>44</v>
      </c>
      <c r="N21" s="139">
        <f>IF('Sum A'!$B$5=60,Q21,IF('Sum A'!$B$5=120,T21,W21))</f>
        <v>0.6667048059662947</v>
      </c>
      <c r="P21" s="17">
        <v>44</v>
      </c>
      <c r="Q21" s="137">
        <v>0.41840073856012966</v>
      </c>
      <c r="S21" s="17">
        <v>44</v>
      </c>
      <c r="T21" s="137">
        <v>0.5934599165877916</v>
      </c>
      <c r="V21" s="17">
        <v>44</v>
      </c>
      <c r="W21" s="137">
        <v>0.6667048059662947</v>
      </c>
    </row>
    <row r="22" spans="1:23" ht="15" thickBot="1">
      <c r="A22" s="5" t="s">
        <v>49</v>
      </c>
      <c r="B22" s="8" t="s">
        <v>55</v>
      </c>
      <c r="C22" s="8">
        <v>1788</v>
      </c>
      <c r="D22" s="37"/>
      <c r="E22" s="11">
        <f t="shared" si="0"/>
        <v>0</v>
      </c>
      <c r="F22" s="4">
        <v>75</v>
      </c>
      <c r="G22" s="36"/>
      <c r="H22" s="10">
        <f>IF(G22&lt;&gt;0,(VLOOKUP(G22,$M$4:$N$31,2)),1)</f>
        <v>1</v>
      </c>
      <c r="I22" s="47">
        <f>IF(G22&lt;&gt;0,(H22*E22),"")</f>
      </c>
      <c r="M22" s="17">
        <v>45</v>
      </c>
      <c r="N22" s="139">
        <f>IF('Sum A'!$B$5=60,Q22,IF('Sum A'!$B$5=120,T22,W22))</f>
        <v>0.6474785144520934</v>
      </c>
      <c r="P22" s="17">
        <v>45</v>
      </c>
      <c r="Q22" s="137">
        <v>0.41019680250993107</v>
      </c>
      <c r="S22" s="17">
        <v>45</v>
      </c>
      <c r="T22" s="137">
        <v>0.5784582192993024</v>
      </c>
      <c r="V22" s="17">
        <v>45</v>
      </c>
      <c r="W22" s="137">
        <v>0.6474785144520934</v>
      </c>
    </row>
    <row r="23" spans="1:23" ht="15" thickBot="1">
      <c r="A23" s="2" t="s">
        <v>50</v>
      </c>
      <c r="B23" s="8" t="s">
        <v>55</v>
      </c>
      <c r="C23" s="8">
        <v>1788</v>
      </c>
      <c r="D23" s="37"/>
      <c r="E23" s="11">
        <f t="shared" si="0"/>
        <v>0</v>
      </c>
      <c r="F23" s="4">
        <v>35</v>
      </c>
      <c r="G23" s="36"/>
      <c r="H23" s="10">
        <f>IF(G23&lt;&gt;0,(VLOOKUP(G23,$M$4:$N$31,2)),1)</f>
        <v>1</v>
      </c>
      <c r="I23" s="46">
        <f>IF(E23&lt;&gt;0,(H23*E23),"")</f>
      </c>
      <c r="M23" s="17">
        <v>47</v>
      </c>
      <c r="N23" s="139">
        <f>IF('Sum A'!$B$5=60,Q23,IF('Sum A'!$B$5=120,T23,W23))</f>
        <v>0.6110039478995135</v>
      </c>
      <c r="P23" s="17">
        <v>47</v>
      </c>
      <c r="Q23" s="137">
        <v>0.3942683607361891</v>
      </c>
      <c r="S23" s="17">
        <v>47</v>
      </c>
      <c r="T23" s="137">
        <v>0.5497159010137908</v>
      </c>
      <c r="V23" s="17">
        <v>47</v>
      </c>
      <c r="W23" s="137">
        <v>0.6110039478995135</v>
      </c>
    </row>
    <row r="24" spans="1:23" ht="26.25" thickBot="1">
      <c r="A24" s="24" t="s">
        <v>26</v>
      </c>
      <c r="B24" s="25"/>
      <c r="C24" s="25"/>
      <c r="D24" s="38"/>
      <c r="E24" s="26"/>
      <c r="F24" s="27"/>
      <c r="G24" s="34"/>
      <c r="H24" s="27"/>
      <c r="I24" s="45"/>
      <c r="M24" s="17">
        <v>50</v>
      </c>
      <c r="N24" s="139">
        <f>IF('Sum A'!$B$5=60,Q24,IF('Sum A'!$B$5=120,T24,W24))</f>
        <v>0.5608439452913866</v>
      </c>
      <c r="P24" s="17">
        <v>50</v>
      </c>
      <c r="Q24" s="137">
        <v>0.3715278821269619</v>
      </c>
      <c r="S24" s="17">
        <v>50</v>
      </c>
      <c r="T24" s="137">
        <v>0.5095608493247077</v>
      </c>
      <c r="V24" s="17">
        <v>50</v>
      </c>
      <c r="W24" s="137">
        <v>0.5608439452913866</v>
      </c>
    </row>
    <row r="25" spans="1:23" ht="15" thickBot="1">
      <c r="A25" s="5" t="s">
        <v>49</v>
      </c>
      <c r="B25" s="8" t="s">
        <v>55</v>
      </c>
      <c r="C25" s="8">
        <v>1788</v>
      </c>
      <c r="D25" s="37"/>
      <c r="E25" s="11">
        <f t="shared" si="0"/>
        <v>0</v>
      </c>
      <c r="F25" s="4">
        <v>110</v>
      </c>
      <c r="G25" s="36"/>
      <c r="H25" s="10">
        <f>IF(G25&lt;&gt;0,(VLOOKUP(G25,$M$4:$N$31,2)),1)</f>
        <v>1</v>
      </c>
      <c r="I25" s="47">
        <f>IF(G25&lt;&gt;0,(H25*E25),"")</f>
      </c>
      <c r="M25" s="17">
        <v>55</v>
      </c>
      <c r="N25" s="139">
        <f>IF('Sum A'!$B$5=60,Q25,IF('Sum A'!$B$5=120,T25,W25))</f>
        <v>0.44973935952064065</v>
      </c>
      <c r="P25" s="17">
        <v>55</v>
      </c>
      <c r="Q25" s="137">
        <v>0.33650424955324687</v>
      </c>
      <c r="S25" s="17">
        <v>55</v>
      </c>
      <c r="T25" s="137">
        <v>0.44973935952064065</v>
      </c>
      <c r="V25" s="17">
        <v>55</v>
      </c>
      <c r="W25" s="137">
        <v>0.44973935952064065</v>
      </c>
    </row>
    <row r="26" spans="1:23" ht="15" thickBot="1">
      <c r="A26" s="29" t="s">
        <v>50</v>
      </c>
      <c r="B26" s="9" t="s">
        <v>55</v>
      </c>
      <c r="C26" s="9">
        <v>1788</v>
      </c>
      <c r="D26" s="39"/>
      <c r="E26" s="12">
        <f t="shared" si="0"/>
        <v>0</v>
      </c>
      <c r="F26" s="10">
        <v>45</v>
      </c>
      <c r="G26" s="35"/>
      <c r="H26" s="10">
        <f>IF(G26&lt;&gt;0,(VLOOKUP(G26,$M$4:$N$31,2)),1)</f>
        <v>1</v>
      </c>
      <c r="I26" s="46">
        <f>IF(E26&lt;&gt;0,(H26*E26),"")</f>
      </c>
      <c r="M26" s="18">
        <v>57</v>
      </c>
      <c r="N26" s="139">
        <f>IF('Sum A'!$B$5=60,Q26,IF('Sum A'!$B$5=120,T26,W26))</f>
        <v>0.4280491178334832</v>
      </c>
      <c r="P26" s="18">
        <v>57</v>
      </c>
      <c r="Q26" s="138">
        <v>0.32343737942449713</v>
      </c>
      <c r="S26" s="17">
        <v>57</v>
      </c>
      <c r="T26" s="137">
        <v>0.4280491178334832</v>
      </c>
      <c r="V26" s="17">
        <v>57</v>
      </c>
      <c r="W26" s="137">
        <v>0.4280491178334832</v>
      </c>
    </row>
    <row r="27" spans="1:23" ht="26.25" thickBot="1">
      <c r="A27" s="3" t="s">
        <v>155</v>
      </c>
      <c r="B27" s="8"/>
      <c r="C27" s="8"/>
      <c r="D27" s="37"/>
      <c r="E27" s="11"/>
      <c r="F27" s="4"/>
      <c r="G27" s="36"/>
      <c r="H27" s="4"/>
      <c r="I27" s="47"/>
      <c r="M27" s="17">
        <v>75</v>
      </c>
      <c r="N27" s="139">
        <f>IF('Sum A'!$B$5=60,Q27,IF('Sum A'!$B$5=120,T27,W27))</f>
        <v>0.27774080938505397</v>
      </c>
      <c r="S27" s="17">
        <v>75</v>
      </c>
      <c r="T27" s="137">
        <v>0.2264577134183751</v>
      </c>
      <c r="V27" s="17">
        <v>75</v>
      </c>
      <c r="W27" s="137">
        <v>0.27774080938505397</v>
      </c>
    </row>
    <row r="28" spans="1:23" ht="15" thickBot="1">
      <c r="A28" s="5" t="s">
        <v>49</v>
      </c>
      <c r="B28" s="8" t="s">
        <v>55</v>
      </c>
      <c r="C28" s="8">
        <v>1788</v>
      </c>
      <c r="D28" s="37"/>
      <c r="E28" s="11">
        <f t="shared" si="0"/>
        <v>0</v>
      </c>
      <c r="F28" s="4">
        <v>130</v>
      </c>
      <c r="G28" s="36"/>
      <c r="H28" s="10">
        <f>IF(G28&lt;&gt;0,(VLOOKUP(G28,$M$4:$N$31,2)),1)</f>
        <v>1</v>
      </c>
      <c r="I28" s="47">
        <f>IF(G28&lt;&gt;0,(H28*E28),"")</f>
      </c>
      <c r="M28" s="17">
        <v>85</v>
      </c>
      <c r="N28" s="139">
        <f>IF('Sum A'!$B$5=60,Q28,IF('Sum A'!$B$5=120,T28,W28))</f>
        <v>0.1857742001963791</v>
      </c>
      <c r="S28" s="17">
        <v>85</v>
      </c>
      <c r="T28" s="137">
        <v>0.1857742001963791</v>
      </c>
      <c r="V28" s="17">
        <v>85</v>
      </c>
      <c r="W28" s="137">
        <v>0.1857742001963791</v>
      </c>
    </row>
    <row r="29" spans="1:23" ht="15" thickBot="1">
      <c r="A29" s="2" t="s">
        <v>50</v>
      </c>
      <c r="B29" s="8" t="s">
        <v>55</v>
      </c>
      <c r="C29" s="8">
        <v>1788</v>
      </c>
      <c r="D29" s="37"/>
      <c r="E29" s="11">
        <f t="shared" si="0"/>
        <v>0</v>
      </c>
      <c r="F29" s="4">
        <v>45</v>
      </c>
      <c r="G29" s="36"/>
      <c r="H29" s="10">
        <f>IF(G29&lt;&gt;0,(VLOOKUP(G29,$M$4:$N$31,2)),1)</f>
        <v>1</v>
      </c>
      <c r="I29" s="46">
        <f>IF(E29&lt;&gt;0,(H29*E29),"")</f>
      </c>
      <c r="M29" s="17">
        <v>90</v>
      </c>
      <c r="N29" s="139">
        <f>IF('Sum A'!$B$5=60,Q29,IF('Sum A'!$B$5=120,T29,W29))</f>
        <v>0.16826141678937137</v>
      </c>
      <c r="S29" s="17">
        <v>90</v>
      </c>
      <c r="T29" s="137">
        <v>0.16826141678937137</v>
      </c>
      <c r="V29" s="17">
        <v>90</v>
      </c>
      <c r="W29" s="137">
        <v>0.16826141678937137</v>
      </c>
    </row>
    <row r="30" spans="1:23" ht="26.25" thickBot="1">
      <c r="A30" s="24" t="s">
        <v>27</v>
      </c>
      <c r="B30" s="25"/>
      <c r="C30" s="25"/>
      <c r="D30" s="38"/>
      <c r="E30" s="26"/>
      <c r="F30" s="27"/>
      <c r="G30" s="34"/>
      <c r="H30" s="27"/>
      <c r="I30" s="45"/>
      <c r="M30" s="17">
        <v>110</v>
      </c>
      <c r="N30" s="139">
        <f>IF('Sum A'!$B$5=60,Q30,IF('Sum A'!$B$5=120,T30,W30))</f>
        <v>0.11323510996739378</v>
      </c>
      <c r="S30" s="18">
        <v>110</v>
      </c>
      <c r="T30" s="138">
        <v>0.11323510996739378</v>
      </c>
      <c r="V30" s="17">
        <v>110</v>
      </c>
      <c r="W30" s="137">
        <v>0.11323510996739378</v>
      </c>
    </row>
    <row r="31" spans="1:23" ht="15" thickBot="1">
      <c r="A31" s="5" t="s">
        <v>49</v>
      </c>
      <c r="B31" s="8" t="s">
        <v>55</v>
      </c>
      <c r="C31" s="8">
        <v>1788</v>
      </c>
      <c r="D31" s="37"/>
      <c r="E31" s="11">
        <f t="shared" si="0"/>
        <v>0</v>
      </c>
      <c r="F31" s="4">
        <v>75</v>
      </c>
      <c r="G31" s="36"/>
      <c r="H31" s="10">
        <f>IF(G31&lt;&gt;0,(VLOOKUP(G31,$M$4:$N$31,2)),1)</f>
        <v>1</v>
      </c>
      <c r="I31" s="47">
        <f>IF(G31&lt;&gt;0,(H31*E31),"")</f>
      </c>
      <c r="M31" s="18">
        <v>130</v>
      </c>
      <c r="N31" s="139">
        <f>IF('Sum A'!$B$5=60,Q31,IF('Sum A'!$B$5=120,T31,W31))</f>
        <v>0.07620398290939451</v>
      </c>
      <c r="V31" s="18">
        <v>130</v>
      </c>
      <c r="W31" s="138">
        <v>0.07620398290939451</v>
      </c>
    </row>
    <row r="32" spans="1:14" ht="16.5" thickBot="1">
      <c r="A32" s="29" t="s">
        <v>50</v>
      </c>
      <c r="B32" s="9" t="s">
        <v>55</v>
      </c>
      <c r="C32" s="9">
        <v>1788</v>
      </c>
      <c r="D32" s="39"/>
      <c r="E32" s="12">
        <f t="shared" si="0"/>
        <v>0</v>
      </c>
      <c r="F32" s="10">
        <v>35</v>
      </c>
      <c r="G32" s="35"/>
      <c r="H32" s="10">
        <f>IF(G32&lt;&gt;0,(VLOOKUP(G32,$M$4:$N$31,2)),1)</f>
        <v>1</v>
      </c>
      <c r="I32" s="46">
        <f>IF(E32&lt;&gt;0,(H32*E32),"")</f>
      </c>
      <c r="M32" s="177" t="str">
        <f>"Based on "&amp;'Sum A'!B5&amp;" year timescale"</f>
        <v>Based on 150 year timescale</v>
      </c>
      <c r="N32" s="178"/>
    </row>
    <row r="33" spans="1:9" ht="27" customHeight="1">
      <c r="A33" s="3" t="s">
        <v>28</v>
      </c>
      <c r="B33" s="8"/>
      <c r="C33" s="8"/>
      <c r="D33" s="37"/>
      <c r="E33" s="11"/>
      <c r="F33" s="4"/>
      <c r="G33" s="36"/>
      <c r="H33" s="4"/>
      <c r="I33" s="47"/>
    </row>
    <row r="34" spans="1:9" ht="13.5" thickBot="1">
      <c r="A34" s="5" t="s">
        <v>48</v>
      </c>
      <c r="B34" s="8" t="s">
        <v>54</v>
      </c>
      <c r="C34" s="8">
        <v>2400</v>
      </c>
      <c r="D34" s="37"/>
      <c r="E34" s="11">
        <f t="shared" si="0"/>
        <v>0</v>
      </c>
      <c r="F34" s="4">
        <v>1</v>
      </c>
      <c r="G34" s="36"/>
      <c r="H34" s="10">
        <f>IF(G34&lt;&gt;0,(VLOOKUP(G34,$M$4:$N$31,2)),1)</f>
        <v>1</v>
      </c>
      <c r="I34" s="46">
        <f>IF(E34&lt;&gt;0,(H34*E34),"")</f>
      </c>
    </row>
    <row r="35" spans="1:9" ht="12.75">
      <c r="A35" s="24" t="s">
        <v>29</v>
      </c>
      <c r="B35" s="25"/>
      <c r="C35" s="25"/>
      <c r="D35" s="38"/>
      <c r="E35" s="26"/>
      <c r="F35" s="27"/>
      <c r="G35" s="34"/>
      <c r="H35" s="27"/>
      <c r="I35" s="45"/>
    </row>
    <row r="36" spans="1:9" ht="15" thickBot="1">
      <c r="A36" s="5" t="s">
        <v>49</v>
      </c>
      <c r="B36" s="8" t="s">
        <v>55</v>
      </c>
      <c r="C36" s="8">
        <v>2146</v>
      </c>
      <c r="D36" s="37"/>
      <c r="E36" s="11">
        <f t="shared" si="0"/>
        <v>0</v>
      </c>
      <c r="F36" s="4">
        <v>90</v>
      </c>
      <c r="G36" s="36"/>
      <c r="H36" s="10">
        <f>IF(G36&lt;&gt;0,(VLOOKUP(G36,$M$4:$N$31,2)),1)</f>
        <v>1</v>
      </c>
      <c r="I36" s="47">
        <f>IF(G36&lt;&gt;0,(H36*E36),"")</f>
      </c>
    </row>
    <row r="37" spans="1:9" ht="15" thickBot="1">
      <c r="A37" s="29" t="s">
        <v>50</v>
      </c>
      <c r="B37" s="9" t="s">
        <v>55</v>
      </c>
      <c r="C37" s="9">
        <v>2146</v>
      </c>
      <c r="D37" s="39"/>
      <c r="E37" s="12">
        <f t="shared" si="0"/>
        <v>0</v>
      </c>
      <c r="F37" s="10">
        <v>45</v>
      </c>
      <c r="G37" s="35"/>
      <c r="H37" s="10">
        <f>IF(G37&lt;&gt;0,(VLOOKUP(G37,$M$4:$N$31,2)),1)</f>
        <v>1</v>
      </c>
      <c r="I37" s="46">
        <f>IF(E37&lt;&gt;0,(H37*E37),"")</f>
      </c>
    </row>
    <row r="38" spans="1:9" ht="38.25">
      <c r="A38" s="3" t="s">
        <v>30</v>
      </c>
      <c r="B38" s="8"/>
      <c r="C38" s="8"/>
      <c r="D38" s="37"/>
      <c r="E38" s="11"/>
      <c r="F38" s="4"/>
      <c r="G38" s="36"/>
      <c r="H38" s="4"/>
      <c r="I38" s="47"/>
    </row>
    <row r="39" spans="1:9" ht="15" thickBot="1">
      <c r="A39" s="5" t="s">
        <v>49</v>
      </c>
      <c r="B39" s="8" t="s">
        <v>55</v>
      </c>
      <c r="C39" s="8">
        <v>72</v>
      </c>
      <c r="D39" s="37"/>
      <c r="E39" s="11">
        <f t="shared" si="0"/>
        <v>0</v>
      </c>
      <c r="F39" s="4">
        <v>30</v>
      </c>
      <c r="G39" s="36"/>
      <c r="H39" s="10">
        <f>IF(G39&lt;&gt;0,(VLOOKUP(G39,$M$4:$N$31,2)),1)</f>
        <v>1</v>
      </c>
      <c r="I39" s="47">
        <f>IF(G39&lt;&gt;0,(H39*E39),"")</f>
      </c>
    </row>
    <row r="40" spans="1:9" ht="15" thickBot="1">
      <c r="A40" s="2" t="s">
        <v>50</v>
      </c>
      <c r="B40" s="8" t="s">
        <v>55</v>
      </c>
      <c r="C40" s="8">
        <v>72</v>
      </c>
      <c r="D40" s="37"/>
      <c r="E40" s="11">
        <f t="shared" si="0"/>
        <v>0</v>
      </c>
      <c r="F40" s="4">
        <v>15</v>
      </c>
      <c r="G40" s="36"/>
      <c r="H40" s="10">
        <f>IF(G40&lt;&gt;0,(VLOOKUP(G40,$M$4:$N$31,2)),1)</f>
        <v>1</v>
      </c>
      <c r="I40" s="46">
        <f>IF(E40&lt;&gt;0,(H40*E40),"")</f>
      </c>
    </row>
    <row r="41" spans="1:9" ht="12.75">
      <c r="A41" s="24" t="s">
        <v>31</v>
      </c>
      <c r="B41" s="25"/>
      <c r="C41" s="25"/>
      <c r="D41" s="38"/>
      <c r="E41" s="26"/>
      <c r="F41" s="27"/>
      <c r="G41" s="34"/>
      <c r="H41" s="27"/>
      <c r="I41" s="45"/>
    </row>
    <row r="42" spans="1:9" ht="15" thickBot="1">
      <c r="A42" s="5" t="s">
        <v>49</v>
      </c>
      <c r="B42" s="8" t="s">
        <v>55</v>
      </c>
      <c r="C42" s="8">
        <v>143</v>
      </c>
      <c r="D42" s="37"/>
      <c r="E42" s="11">
        <f t="shared" si="0"/>
        <v>0</v>
      </c>
      <c r="F42" s="4">
        <v>30</v>
      </c>
      <c r="G42" s="36"/>
      <c r="H42" s="10">
        <f>IF(G42&lt;&gt;0,(VLOOKUP(G42,$M$4:$N$31,2)),1)</f>
        <v>1</v>
      </c>
      <c r="I42" s="47">
        <f>IF(G42&lt;&gt;0,(H42*E42),"")</f>
      </c>
    </row>
    <row r="43" spans="1:9" ht="15" thickBot="1">
      <c r="A43" s="29" t="s">
        <v>50</v>
      </c>
      <c r="B43" s="9" t="s">
        <v>55</v>
      </c>
      <c r="C43" s="9">
        <v>143</v>
      </c>
      <c r="D43" s="39"/>
      <c r="E43" s="12">
        <f t="shared" si="0"/>
        <v>0</v>
      </c>
      <c r="F43" s="10">
        <v>15</v>
      </c>
      <c r="G43" s="35"/>
      <c r="H43" s="10">
        <f>IF(G43&lt;&gt;0,(VLOOKUP(G43,$M$4:$N$31,2)),1)</f>
        <v>1</v>
      </c>
      <c r="I43" s="46">
        <f>IF(E43&lt;&gt;0,(H43*E43),"")</f>
      </c>
    </row>
    <row r="44" spans="1:9" ht="12.75">
      <c r="A44" s="3" t="s">
        <v>32</v>
      </c>
      <c r="B44" s="8"/>
      <c r="C44" s="8"/>
      <c r="D44" s="37"/>
      <c r="E44" s="11"/>
      <c r="F44" s="4"/>
      <c r="G44" s="36"/>
      <c r="H44" s="4"/>
      <c r="I44" s="47"/>
    </row>
    <row r="45" spans="1:9" ht="15" thickBot="1">
      <c r="A45" s="5" t="s">
        <v>48</v>
      </c>
      <c r="B45" s="8" t="s">
        <v>55</v>
      </c>
      <c r="C45" s="8">
        <v>387</v>
      </c>
      <c r="D45" s="37"/>
      <c r="E45" s="11">
        <f t="shared" si="0"/>
        <v>0</v>
      </c>
      <c r="F45" s="4">
        <v>37</v>
      </c>
      <c r="G45" s="36"/>
      <c r="H45" s="10">
        <f>IF(G45&lt;&gt;0,(VLOOKUP(G45,$M$4:$N$31,2)),1)</f>
        <v>1</v>
      </c>
      <c r="I45" s="46">
        <f>IF(E45&lt;&gt;0,(H45*E45),"")</f>
      </c>
    </row>
    <row r="46" spans="1:9" ht="25.5">
      <c r="A46" s="24" t="s">
        <v>33</v>
      </c>
      <c r="B46" s="25"/>
      <c r="C46" s="25"/>
      <c r="D46" s="38"/>
      <c r="E46" s="26"/>
      <c r="F46" s="27"/>
      <c r="G46" s="34"/>
      <c r="H46" s="27"/>
      <c r="I46" s="45"/>
    </row>
    <row r="47" spans="1:9" ht="13.5" thickBot="1">
      <c r="A47" s="5" t="s">
        <v>51</v>
      </c>
      <c r="B47" s="8" t="s">
        <v>56</v>
      </c>
      <c r="C47" s="8">
        <v>181</v>
      </c>
      <c r="D47" s="37"/>
      <c r="E47" s="11">
        <f t="shared" si="0"/>
        <v>0</v>
      </c>
      <c r="F47" s="4">
        <v>12</v>
      </c>
      <c r="G47" s="36"/>
      <c r="H47" s="10">
        <f>IF(G47&lt;&gt;0,(VLOOKUP(G47,$M$4:$N$31,2)),1)</f>
        <v>1</v>
      </c>
      <c r="I47" s="47">
        <f>IF(G47&lt;&gt;0,(H47*E47),"")</f>
      </c>
    </row>
    <row r="48" spans="1:9" ht="13.5" thickBot="1">
      <c r="A48" s="28" t="s">
        <v>52</v>
      </c>
      <c r="B48" s="9" t="s">
        <v>56</v>
      </c>
      <c r="C48" s="9">
        <v>181</v>
      </c>
      <c r="D48" s="39"/>
      <c r="E48" s="12">
        <f t="shared" si="0"/>
        <v>0</v>
      </c>
      <c r="F48" s="10">
        <v>8</v>
      </c>
      <c r="G48" s="35"/>
      <c r="H48" s="10">
        <f>IF(G48&lt;&gt;0,(VLOOKUP(G48,$M$4:$N$31,2)),1)</f>
        <v>1</v>
      </c>
      <c r="I48" s="46">
        <f>IF(E48&lt;&gt;0,(H48*E48),"")</f>
      </c>
    </row>
    <row r="49" spans="1:9" ht="25.5">
      <c r="A49" s="3" t="s">
        <v>34</v>
      </c>
      <c r="B49" s="8"/>
      <c r="C49" s="8"/>
      <c r="D49" s="37"/>
      <c r="E49" s="11"/>
      <c r="F49" s="4"/>
      <c r="G49" s="36"/>
      <c r="H49" s="4"/>
      <c r="I49" s="47"/>
    </row>
    <row r="50" spans="1:9" ht="13.5" thickBot="1">
      <c r="A50" s="5" t="s">
        <v>51</v>
      </c>
      <c r="B50" s="8" t="s">
        <v>56</v>
      </c>
      <c r="C50" s="8">
        <v>776</v>
      </c>
      <c r="D50" s="37"/>
      <c r="E50" s="11">
        <f t="shared" si="0"/>
        <v>0</v>
      </c>
      <c r="F50" s="4">
        <v>20</v>
      </c>
      <c r="G50" s="36"/>
      <c r="H50" s="10">
        <f>IF(G50&lt;&gt;0,(VLOOKUP(G50,$M$4:$N$31,2)),1)</f>
        <v>1</v>
      </c>
      <c r="I50" s="47">
        <f>IF(G50&lt;&gt;0,(H50*E50),"")</f>
      </c>
    </row>
    <row r="51" spans="1:9" ht="13.5" thickBot="1">
      <c r="A51" s="5" t="s">
        <v>52</v>
      </c>
      <c r="B51" s="8" t="s">
        <v>56</v>
      </c>
      <c r="C51" s="8">
        <v>776</v>
      </c>
      <c r="D51" s="37"/>
      <c r="E51" s="11">
        <f t="shared" si="0"/>
        <v>0</v>
      </c>
      <c r="F51" s="4">
        <v>13</v>
      </c>
      <c r="G51" s="36"/>
      <c r="H51" s="10">
        <f>IF(G51&lt;&gt;0,(VLOOKUP(G51,$M$4:$N$31,2)),1)</f>
        <v>1</v>
      </c>
      <c r="I51" s="47">
        <f>IF(G51&lt;&gt;0,(H51*E51),"")</f>
      </c>
    </row>
    <row r="52" spans="1:9" ht="25.5">
      <c r="A52" s="24" t="s">
        <v>35</v>
      </c>
      <c r="B52" s="25"/>
      <c r="C52" s="25"/>
      <c r="D52" s="38"/>
      <c r="E52" s="26"/>
      <c r="F52" s="27"/>
      <c r="G52" s="34"/>
      <c r="H52" s="27"/>
      <c r="I52" s="45"/>
    </row>
    <row r="53" spans="1:9" ht="13.5" thickBot="1">
      <c r="A53" s="5" t="s">
        <v>51</v>
      </c>
      <c r="B53" s="8" t="s">
        <v>56</v>
      </c>
      <c r="C53" s="8">
        <v>1614</v>
      </c>
      <c r="D53" s="37"/>
      <c r="E53" s="11">
        <f t="shared" si="0"/>
        <v>0</v>
      </c>
      <c r="F53" s="4">
        <v>28</v>
      </c>
      <c r="G53" s="36"/>
      <c r="H53" s="10">
        <f>IF(G53&lt;&gt;0,(VLOOKUP(G53,$M$4:$N$31,2)),1)</f>
        <v>1</v>
      </c>
      <c r="I53" s="47">
        <f>IF(G53&lt;&gt;0,(H53*E53),"")</f>
      </c>
    </row>
    <row r="54" spans="1:9" ht="13.5" thickBot="1">
      <c r="A54" s="28" t="s">
        <v>52</v>
      </c>
      <c r="B54" s="9" t="s">
        <v>56</v>
      </c>
      <c r="C54" s="9">
        <v>1614</v>
      </c>
      <c r="D54" s="39"/>
      <c r="E54" s="12">
        <f t="shared" si="0"/>
        <v>0</v>
      </c>
      <c r="F54" s="10">
        <v>23</v>
      </c>
      <c r="G54" s="35"/>
      <c r="H54" s="10">
        <f>IF(G54&lt;&gt;0,(VLOOKUP(G54,$M$4:$N$31,2)),1)</f>
        <v>1</v>
      </c>
      <c r="I54" s="46">
        <f>IF(E54&lt;&gt;0,(H54*E54),"")</f>
      </c>
    </row>
    <row r="55" spans="1:9" ht="25.5">
      <c r="A55" s="3" t="s">
        <v>36</v>
      </c>
      <c r="B55" s="8"/>
      <c r="C55" s="8"/>
      <c r="D55" s="37"/>
      <c r="E55" s="11"/>
      <c r="F55" s="4"/>
      <c r="G55" s="36"/>
      <c r="H55" s="4"/>
      <c r="I55" s="47"/>
    </row>
    <row r="56" spans="1:9" ht="15" thickBot="1">
      <c r="A56" s="5" t="s">
        <v>49</v>
      </c>
      <c r="B56" s="8" t="s">
        <v>55</v>
      </c>
      <c r="C56" s="8">
        <v>1788</v>
      </c>
      <c r="D56" s="37"/>
      <c r="E56" s="11">
        <f t="shared" si="0"/>
        <v>0</v>
      </c>
      <c r="F56" s="4">
        <v>35</v>
      </c>
      <c r="G56" s="36"/>
      <c r="H56" s="10">
        <f>IF(G56&lt;&gt;0,(VLOOKUP(G56,$M$4:$N$31,2)),1)</f>
        <v>1</v>
      </c>
      <c r="I56" s="47">
        <f>IF(G56&lt;&gt;0,(H56*E56),"")</f>
      </c>
    </row>
    <row r="57" spans="1:9" ht="15" thickBot="1">
      <c r="A57" s="2" t="s">
        <v>50</v>
      </c>
      <c r="B57" s="8" t="s">
        <v>55</v>
      </c>
      <c r="C57" s="8">
        <v>1788</v>
      </c>
      <c r="D57" s="37"/>
      <c r="E57" s="11">
        <f t="shared" si="0"/>
        <v>0</v>
      </c>
      <c r="F57" s="4">
        <v>23</v>
      </c>
      <c r="G57" s="36"/>
      <c r="H57" s="10">
        <f>IF(G57&lt;&gt;0,(VLOOKUP(G57,$M$4:$N$31,2)),1)</f>
        <v>1</v>
      </c>
      <c r="I57" s="46">
        <f>IF(E57&lt;&gt;0,(H57*E57),"")</f>
      </c>
    </row>
    <row r="58" spans="1:9" ht="12.75">
      <c r="A58" s="24" t="s">
        <v>37</v>
      </c>
      <c r="B58" s="25"/>
      <c r="C58" s="25"/>
      <c r="D58" s="38"/>
      <c r="E58" s="26"/>
      <c r="F58" s="27"/>
      <c r="G58" s="34"/>
      <c r="H58" s="27"/>
      <c r="I58" s="45"/>
    </row>
    <row r="59" spans="1:9" ht="15" thickBot="1">
      <c r="A59" s="5" t="s">
        <v>49</v>
      </c>
      <c r="B59" s="8" t="s">
        <v>55</v>
      </c>
      <c r="C59" s="8">
        <v>680</v>
      </c>
      <c r="D59" s="37"/>
      <c r="E59" s="11">
        <f t="shared" si="0"/>
        <v>0</v>
      </c>
      <c r="F59" s="4">
        <v>35</v>
      </c>
      <c r="G59" s="36"/>
      <c r="H59" s="10">
        <f>IF(G59&lt;&gt;0,(VLOOKUP(G59,$M$4:$N$31,2)),1)</f>
        <v>1</v>
      </c>
      <c r="I59" s="47">
        <f>IF(G59&lt;&gt;0,(H59*E59),"")</f>
      </c>
    </row>
    <row r="60" spans="1:9" ht="15" thickBot="1">
      <c r="A60" s="29" t="s">
        <v>50</v>
      </c>
      <c r="B60" s="9" t="s">
        <v>55</v>
      </c>
      <c r="C60" s="9">
        <v>680</v>
      </c>
      <c r="D60" s="39"/>
      <c r="E60" s="12">
        <f t="shared" si="0"/>
        <v>0</v>
      </c>
      <c r="F60" s="10">
        <v>23</v>
      </c>
      <c r="G60" s="35"/>
      <c r="H60" s="10">
        <f>IF(G60&lt;&gt;0,(VLOOKUP(G60,$M$4:$N$31,2)),1)</f>
        <v>1</v>
      </c>
      <c r="I60" s="46">
        <f>IF(E60&lt;&gt;0,(H60*E60),"")</f>
      </c>
    </row>
    <row r="61" spans="1:9" ht="25.5">
      <c r="A61" s="3" t="s">
        <v>38</v>
      </c>
      <c r="B61" s="8"/>
      <c r="C61" s="8"/>
      <c r="D61" s="37"/>
      <c r="E61" s="11"/>
      <c r="F61" s="4"/>
      <c r="G61" s="36"/>
      <c r="H61" s="4"/>
      <c r="I61" s="47"/>
    </row>
    <row r="62" spans="1:9" ht="15" thickBot="1">
      <c r="A62" s="5" t="s">
        <v>49</v>
      </c>
      <c r="B62" s="8" t="s">
        <v>55</v>
      </c>
      <c r="C62" s="8">
        <v>680</v>
      </c>
      <c r="D62" s="37"/>
      <c r="E62" s="11">
        <f t="shared" si="0"/>
        <v>0</v>
      </c>
      <c r="F62" s="4">
        <v>57</v>
      </c>
      <c r="G62" s="36"/>
      <c r="H62" s="10">
        <f>IF(G62&lt;&gt;0,(VLOOKUP(G62,$M$4:$N$31,2)),1)</f>
        <v>1</v>
      </c>
      <c r="I62" s="47">
        <f>IF(G62&lt;&gt;0,(H62*E62),"")</f>
      </c>
    </row>
    <row r="63" spans="1:9" ht="15" thickBot="1">
      <c r="A63" s="2" t="s">
        <v>50</v>
      </c>
      <c r="B63" s="8" t="s">
        <v>55</v>
      </c>
      <c r="C63" s="8">
        <v>680</v>
      </c>
      <c r="D63" s="37"/>
      <c r="E63" s="11">
        <f t="shared" si="0"/>
        <v>0</v>
      </c>
      <c r="F63" s="4">
        <v>45</v>
      </c>
      <c r="G63" s="36"/>
      <c r="H63" s="10">
        <f>IF(G63&lt;&gt;0,(VLOOKUP(G63,$M$4:$N$31,2)),1)</f>
        <v>1</v>
      </c>
      <c r="I63" s="46">
        <f>IF(E63&lt;&gt;0,(H63*E63),"")</f>
      </c>
    </row>
    <row r="64" spans="1:9" ht="13.5" customHeight="1">
      <c r="A64" s="24" t="s">
        <v>39</v>
      </c>
      <c r="B64" s="25"/>
      <c r="C64" s="25"/>
      <c r="D64" s="38"/>
      <c r="E64" s="26"/>
      <c r="F64" s="27"/>
      <c r="G64" s="34"/>
      <c r="H64" s="27"/>
      <c r="I64" s="45"/>
    </row>
    <row r="65" spans="1:9" ht="15" thickBot="1">
      <c r="A65" s="5" t="s">
        <v>49</v>
      </c>
      <c r="B65" s="8" t="s">
        <v>55</v>
      </c>
      <c r="C65" s="8">
        <v>2146</v>
      </c>
      <c r="D65" s="37"/>
      <c r="E65" s="11">
        <f t="shared" si="0"/>
        <v>0</v>
      </c>
      <c r="F65" s="4">
        <v>85</v>
      </c>
      <c r="G65" s="36"/>
      <c r="H65" s="10">
        <f>IF(G65&lt;&gt;0,(VLOOKUP(G65,$M$4:$N$31,2)),1)</f>
        <v>1</v>
      </c>
      <c r="I65" s="47">
        <f>IF(G65&lt;&gt;0,(H65*E65),"")</f>
      </c>
    </row>
    <row r="66" spans="1:9" ht="15" thickBot="1">
      <c r="A66" s="29" t="s">
        <v>50</v>
      </c>
      <c r="B66" s="9" t="s">
        <v>55</v>
      </c>
      <c r="C66" s="9">
        <v>2146</v>
      </c>
      <c r="D66" s="39"/>
      <c r="E66" s="12">
        <f t="shared" si="0"/>
        <v>0</v>
      </c>
      <c r="F66" s="10">
        <v>38</v>
      </c>
      <c r="G66" s="35"/>
      <c r="H66" s="10">
        <f>IF(G66&lt;&gt;0,(VLOOKUP(G66,$M$4:$N$31,2)),1)</f>
        <v>1</v>
      </c>
      <c r="I66" s="46">
        <f>IF(E66&lt;&gt;0,(H66*E66),"")</f>
      </c>
    </row>
    <row r="67" spans="1:9" ht="25.5">
      <c r="A67" s="3" t="s">
        <v>40</v>
      </c>
      <c r="B67" s="8"/>
      <c r="C67" s="8"/>
      <c r="D67" s="37"/>
      <c r="E67" s="11"/>
      <c r="F67" s="4"/>
      <c r="G67" s="36"/>
      <c r="H67" s="4"/>
      <c r="I67" s="47"/>
    </row>
    <row r="68" spans="1:9" ht="15" thickBot="1">
      <c r="A68" s="5" t="s">
        <v>49</v>
      </c>
      <c r="B68" s="8" t="s">
        <v>55</v>
      </c>
      <c r="C68" s="8">
        <v>1538</v>
      </c>
      <c r="D68" s="37"/>
      <c r="E68" s="11">
        <f t="shared" si="0"/>
        <v>0</v>
      </c>
      <c r="F68" s="4">
        <v>23</v>
      </c>
      <c r="G68" s="36"/>
      <c r="H68" s="10">
        <f>IF(G68&lt;&gt;0,(VLOOKUP(G68,$M$4:$N$31,2)),1)</f>
        <v>1</v>
      </c>
      <c r="I68" s="47">
        <f>IF(G68&lt;&gt;0,(H68*E68),"")</f>
      </c>
    </row>
    <row r="69" spans="1:9" ht="15" thickBot="1">
      <c r="A69" s="2" t="s">
        <v>50</v>
      </c>
      <c r="B69" s="8" t="s">
        <v>55</v>
      </c>
      <c r="C69" s="8">
        <v>1538</v>
      </c>
      <c r="D69" s="37"/>
      <c r="E69" s="11">
        <f t="shared" si="0"/>
        <v>0</v>
      </c>
      <c r="F69" s="4">
        <v>17</v>
      </c>
      <c r="G69" s="36"/>
      <c r="H69" s="10">
        <f>IF(G69&lt;&gt;0,(VLOOKUP(G69,$M$4:$N$31,2)),1)</f>
        <v>1</v>
      </c>
      <c r="I69" s="46">
        <f>IF(E69&lt;&gt;0,(H69*E69),"")</f>
      </c>
    </row>
    <row r="70" spans="1:9" ht="12.75">
      <c r="A70" s="24" t="s">
        <v>41</v>
      </c>
      <c r="B70" s="25"/>
      <c r="C70" s="25"/>
      <c r="D70" s="38"/>
      <c r="E70" s="26"/>
      <c r="F70" s="27"/>
      <c r="G70" s="34"/>
      <c r="H70" s="27"/>
      <c r="I70" s="45"/>
    </row>
    <row r="71" spans="1:9" ht="15" thickBot="1">
      <c r="A71" s="5" t="s">
        <v>49</v>
      </c>
      <c r="B71" s="8" t="s">
        <v>55</v>
      </c>
      <c r="C71" s="8">
        <v>1538</v>
      </c>
      <c r="D71" s="37"/>
      <c r="E71" s="11">
        <f t="shared" si="0"/>
        <v>0</v>
      </c>
      <c r="F71" s="4">
        <v>47</v>
      </c>
      <c r="G71" s="36"/>
      <c r="H71" s="10">
        <f>IF(G71&lt;&gt;0,(VLOOKUP(G71,$M$4:$N$31,2)),1)</f>
        <v>1</v>
      </c>
      <c r="I71" s="47">
        <f>IF(G71&lt;&gt;0,(H71*E71),"")</f>
      </c>
    </row>
    <row r="72" spans="1:9" ht="15" thickBot="1">
      <c r="A72" s="29" t="s">
        <v>50</v>
      </c>
      <c r="B72" s="9" t="s">
        <v>55</v>
      </c>
      <c r="C72" s="9">
        <v>1538</v>
      </c>
      <c r="D72" s="39"/>
      <c r="E72" s="12">
        <f t="shared" si="0"/>
        <v>0</v>
      </c>
      <c r="F72" s="10">
        <v>30</v>
      </c>
      <c r="G72" s="35"/>
      <c r="H72" s="10">
        <f>IF(G72&lt;&gt;0,(VLOOKUP(G72,$M$4:$N$31,2)),1)</f>
        <v>1</v>
      </c>
      <c r="I72" s="46">
        <f>IF(E72&lt;&gt;0,(H72*E72),"")</f>
      </c>
    </row>
    <row r="73" spans="1:9" ht="51">
      <c r="A73" s="6" t="s">
        <v>42</v>
      </c>
      <c r="B73" s="8"/>
      <c r="C73" s="8"/>
      <c r="D73" s="37"/>
      <c r="E73" s="11"/>
      <c r="F73" s="4"/>
      <c r="G73" s="36"/>
      <c r="H73" s="4"/>
      <c r="I73" s="47"/>
    </row>
    <row r="74" spans="1:9" ht="13.5" thickBot="1">
      <c r="A74" s="5" t="s">
        <v>48</v>
      </c>
      <c r="B74" s="8" t="s">
        <v>57</v>
      </c>
      <c r="C74" s="8">
        <v>1500</v>
      </c>
      <c r="D74" s="37"/>
      <c r="E74" s="11">
        <f t="shared" si="0"/>
        <v>0</v>
      </c>
      <c r="F74" s="4">
        <v>35</v>
      </c>
      <c r="G74" s="36"/>
      <c r="H74" s="10">
        <f>IF(G74&lt;&gt;0,(VLOOKUP(G74,$M$4:$N$31,2)),1)</f>
        <v>1</v>
      </c>
      <c r="I74" s="47">
        <f>IF(G74&lt;&gt;0,(H74*E74),"")</f>
      </c>
    </row>
    <row r="75" spans="1:9" ht="25.5">
      <c r="A75" s="24" t="s">
        <v>43</v>
      </c>
      <c r="B75" s="25"/>
      <c r="C75" s="25"/>
      <c r="D75" s="38"/>
      <c r="E75" s="43"/>
      <c r="F75" s="27"/>
      <c r="G75" s="34"/>
      <c r="H75" s="27"/>
      <c r="I75" s="45"/>
    </row>
    <row r="76" spans="1:9" ht="13.5" thickBot="1">
      <c r="A76" s="28" t="s">
        <v>48</v>
      </c>
      <c r="B76" s="9" t="s">
        <v>54</v>
      </c>
      <c r="C76" s="9" t="s">
        <v>58</v>
      </c>
      <c r="D76" s="39"/>
      <c r="E76" s="44">
        <v>0</v>
      </c>
      <c r="F76" s="10">
        <v>1</v>
      </c>
      <c r="G76" s="35"/>
      <c r="H76" s="10">
        <f>IF(G76&lt;&gt;0,(VLOOKUP(G76,$M$4:$N$31,2)),1)</f>
        <v>1</v>
      </c>
      <c r="I76" s="46">
        <f>IF(E76&lt;&gt;0,(H76*E76),"")</f>
      </c>
    </row>
    <row r="77" spans="1:9" ht="38.25">
      <c r="A77" s="3" t="s">
        <v>44</v>
      </c>
      <c r="B77" s="8"/>
      <c r="C77" s="8"/>
      <c r="D77" s="37"/>
      <c r="E77" s="42"/>
      <c r="F77" s="36"/>
      <c r="G77" s="36"/>
      <c r="H77" s="4"/>
      <c r="I77" s="47"/>
    </row>
    <row r="78" spans="1:9" ht="13.5" thickBot="1">
      <c r="A78" s="2" t="s">
        <v>49</v>
      </c>
      <c r="B78" s="8" t="s">
        <v>57</v>
      </c>
      <c r="C78" s="8" t="s">
        <v>58</v>
      </c>
      <c r="D78" s="37"/>
      <c r="E78" s="42">
        <v>0</v>
      </c>
      <c r="F78" s="36" t="s">
        <v>58</v>
      </c>
      <c r="G78" s="36"/>
      <c r="H78" s="10">
        <f>IF(G78&lt;&gt;0,(VLOOKUP(G78,$M$4:$N$31,2)),1)</f>
        <v>1</v>
      </c>
      <c r="I78" s="46">
        <f>IF(E78&lt;&gt;0,(H78*E78),"")</f>
      </c>
    </row>
    <row r="79" spans="1:9" ht="25.5">
      <c r="A79" s="24" t="s">
        <v>152</v>
      </c>
      <c r="B79" s="25"/>
      <c r="C79" s="25"/>
      <c r="D79" s="38"/>
      <c r="E79" s="43"/>
      <c r="F79" s="34"/>
      <c r="G79" s="34"/>
      <c r="H79" s="27"/>
      <c r="I79" s="45"/>
    </row>
    <row r="80" spans="1:9" ht="13.5" thickBot="1">
      <c r="A80" s="29" t="s">
        <v>49</v>
      </c>
      <c r="B80" s="9" t="s">
        <v>57</v>
      </c>
      <c r="C80" s="9" t="s">
        <v>58</v>
      </c>
      <c r="D80" s="39"/>
      <c r="E80" s="44">
        <v>0</v>
      </c>
      <c r="F80" s="35" t="s">
        <v>58</v>
      </c>
      <c r="G80" s="35"/>
      <c r="H80" s="10">
        <f>IF(G80&lt;&gt;0,(VLOOKUP(G80,$M$4:$N$31,2)),1)</f>
        <v>1</v>
      </c>
      <c r="I80" s="46">
        <f>IF(E80&lt;&gt;0,(H80*E80),"")</f>
      </c>
    </row>
    <row r="81" spans="1:9" ht="25.5">
      <c r="A81" s="3" t="s">
        <v>45</v>
      </c>
      <c r="B81" s="8"/>
      <c r="C81" s="8"/>
      <c r="D81" s="37"/>
      <c r="E81" s="11"/>
      <c r="F81" s="4"/>
      <c r="G81" s="36"/>
      <c r="H81" s="4"/>
      <c r="I81" s="47"/>
    </row>
    <row r="82" spans="1:9" ht="15" thickBot="1">
      <c r="A82" s="5" t="s">
        <v>49</v>
      </c>
      <c r="B82" s="8" t="s">
        <v>55</v>
      </c>
      <c r="C82" s="8">
        <v>1788</v>
      </c>
      <c r="D82" s="37"/>
      <c r="E82" s="11">
        <f aca="true" t="shared" si="1" ref="E82:E87">D82*C82</f>
        <v>0</v>
      </c>
      <c r="F82" s="4">
        <v>55</v>
      </c>
      <c r="G82" s="36"/>
      <c r="H82" s="10">
        <f>IF(G82&lt;&gt;0,(VLOOKUP(G82,$M$4:$N$31,2)),1)</f>
        <v>1</v>
      </c>
      <c r="I82" s="47">
        <f>IF(G82&lt;&gt;0,(H82*E82),"")</f>
      </c>
    </row>
    <row r="83" spans="1:9" ht="15" thickBot="1">
      <c r="A83" s="2" t="s">
        <v>50</v>
      </c>
      <c r="B83" s="8" t="s">
        <v>55</v>
      </c>
      <c r="C83" s="8">
        <v>1788</v>
      </c>
      <c r="D83" s="37"/>
      <c r="E83" s="11">
        <f t="shared" si="1"/>
        <v>0</v>
      </c>
      <c r="F83" s="4">
        <v>28</v>
      </c>
      <c r="G83" s="36"/>
      <c r="H83" s="10">
        <f>IF(G83&lt;&gt;0,(VLOOKUP(G83,$M$4:$N$31,2)),1)</f>
        <v>1</v>
      </c>
      <c r="I83" s="46">
        <f>IF(E83&lt;&gt;0,(H83*E83),"")</f>
      </c>
    </row>
    <row r="84" spans="1:9" ht="12.75">
      <c r="A84" s="24" t="s">
        <v>46</v>
      </c>
      <c r="B84" s="25"/>
      <c r="C84" s="25"/>
      <c r="D84" s="40"/>
      <c r="E84" s="26"/>
      <c r="F84" s="27"/>
      <c r="G84" s="110"/>
      <c r="H84" s="27"/>
      <c r="I84" s="45"/>
    </row>
    <row r="85" spans="1:9" ht="13.5" thickBot="1">
      <c r="A85" s="28" t="s">
        <v>18</v>
      </c>
      <c r="B85" s="9" t="s">
        <v>53</v>
      </c>
      <c r="C85" s="9" t="s">
        <v>8</v>
      </c>
      <c r="D85" s="41"/>
      <c r="E85" s="12">
        <v>0</v>
      </c>
      <c r="F85" s="10" t="s">
        <v>53</v>
      </c>
      <c r="G85" s="111"/>
      <c r="H85" s="10">
        <f>IF(G85&lt;&gt;0,(VLOOKUP(G85,$M$4:$N$31,2)),1)</f>
        <v>1</v>
      </c>
      <c r="I85" s="46">
        <f>IF(E85&lt;&gt;0,(H85*E85),"")</f>
      </c>
    </row>
    <row r="86" spans="1:9" ht="12.75">
      <c r="A86" s="3" t="s">
        <v>47</v>
      </c>
      <c r="B86" s="8"/>
      <c r="C86" s="8"/>
      <c r="D86" s="37"/>
      <c r="E86" s="11"/>
      <c r="F86" s="4"/>
      <c r="G86" s="36"/>
      <c r="H86" s="4"/>
      <c r="I86" s="47"/>
    </row>
    <row r="87" spans="1:9" ht="13.5" thickBot="1">
      <c r="A87" s="5" t="s">
        <v>48</v>
      </c>
      <c r="B87" s="8" t="s">
        <v>57</v>
      </c>
      <c r="C87" s="8">
        <v>40</v>
      </c>
      <c r="D87" s="37"/>
      <c r="E87" s="11">
        <f t="shared" si="1"/>
        <v>0</v>
      </c>
      <c r="F87" s="4">
        <v>2</v>
      </c>
      <c r="G87" s="36"/>
      <c r="H87" s="10">
        <f>IF(G87&lt;&gt;0,(VLOOKUP(G87,$M$4:$N$31,2)),1)</f>
        <v>1</v>
      </c>
      <c r="I87" s="46">
        <f>IF(E87&lt;&gt;0,(H87*E87),"")</f>
      </c>
    </row>
    <row r="88" spans="1:9" ht="21" customHeight="1" thickBot="1">
      <c r="A88" s="30" t="s">
        <v>67</v>
      </c>
      <c r="B88" s="31"/>
      <c r="C88" s="31"/>
      <c r="D88" s="31"/>
      <c r="E88" s="31"/>
      <c r="F88" s="31"/>
      <c r="G88" s="31"/>
      <c r="H88" s="32" t="s">
        <v>0</v>
      </c>
      <c r="I88" s="48">
        <f>SUM(I4:I87)</f>
        <v>0</v>
      </c>
    </row>
  </sheetData>
  <sheetProtection/>
  <mergeCells count="6">
    <mergeCell ref="M32:N32"/>
    <mergeCell ref="V2:W2"/>
    <mergeCell ref="M2:N2"/>
    <mergeCell ref="A2:I2"/>
    <mergeCell ref="P2:Q2"/>
    <mergeCell ref="S2:T2"/>
  </mergeCells>
  <dataValidations count="2">
    <dataValidation type="list" allowBlank="1" showInputMessage="1" showErrorMessage="1" sqref="G5 G7 G9 G85">
      <formula1>$M$4:$M$26</formula1>
    </dataValidation>
    <dataValidation type="list" allowBlank="1" showInputMessage="1" showErrorMessage="1" sqref="G11 G13:G14 G16:G17 G19:G20 G22:G23 G25:G26 G28:G29 G31:G32 G34 G36:G37 G39:G40 G42:G43 G45 G47:G48 G50:G51 G53:G54 G56:G57 G59:G60 G62:G63 G65:G66 G68:G69 G71:G72 G74 G76 G78 G80 G82:G83 G87">
      <formula1>$M$4:$M$31</formula1>
    </dataValidation>
  </dataValidations>
  <printOptions/>
  <pageMargins left="0.7086614173228347" right="0.7086614173228347" top="0.7480314960629921" bottom="0.7480314960629921" header="0.31496062992125984" footer="0.31496062992125984"/>
  <pageSetup fitToWidth="0" fitToHeight="1" horizontalDpi="600" verticalDpi="600" orientation="portrait" paperSize="8" scale="71" r:id="rId1"/>
  <headerFooter>
    <oddFooter>&amp;C&amp;A</oddFooter>
  </headerFooter>
</worksheet>
</file>

<file path=xl/worksheets/sheet4.xml><?xml version="1.0" encoding="utf-8"?>
<worksheet xmlns="http://schemas.openxmlformats.org/spreadsheetml/2006/main" xmlns:r="http://schemas.openxmlformats.org/officeDocument/2006/relationships">
  <dimension ref="A2:Q20"/>
  <sheetViews>
    <sheetView zoomScalePageLayoutView="0" workbookViewId="0" topLeftCell="A1">
      <selection activeCell="B6" sqref="B6"/>
    </sheetView>
  </sheetViews>
  <sheetFormatPr defaultColWidth="9.140625" defaultRowHeight="12.75"/>
  <cols>
    <col min="1" max="1" width="87.140625" style="0" customWidth="1"/>
    <col min="2" max="2" width="13.00390625" style="0" customWidth="1"/>
    <col min="3" max="3" width="12.7109375" style="0" customWidth="1"/>
    <col min="5" max="5" width="0" style="0" hidden="1" customWidth="1"/>
    <col min="17" max="17" width="9.140625" style="0" hidden="1" customWidth="1"/>
  </cols>
  <sheetData>
    <row r="1" ht="13.5" thickBot="1"/>
    <row r="2" spans="1:17" ht="27" thickBot="1">
      <c r="A2" s="181" t="s">
        <v>65</v>
      </c>
      <c r="B2" s="182"/>
      <c r="C2" s="183"/>
      <c r="Q2" t="s">
        <v>86</v>
      </c>
    </row>
    <row r="3" spans="1:17" ht="30.75" customHeight="1" thickBot="1">
      <c r="A3" s="56" t="s">
        <v>66</v>
      </c>
      <c r="B3" s="58" t="s">
        <v>68</v>
      </c>
      <c r="C3" s="59" t="s">
        <v>69</v>
      </c>
      <c r="Q3" t="s">
        <v>87</v>
      </c>
    </row>
    <row r="4" spans="1:17" ht="12.75">
      <c r="A4" s="2" t="s">
        <v>71</v>
      </c>
      <c r="B4" s="53">
        <v>2</v>
      </c>
      <c r="C4" s="36"/>
      <c r="E4">
        <f>IF(C4="Yes",B4,1)</f>
        <v>1</v>
      </c>
      <c r="Q4">
        <v>0.9</v>
      </c>
    </row>
    <row r="5" spans="1:17" ht="12.75">
      <c r="A5" s="49" t="s">
        <v>72</v>
      </c>
      <c r="B5" s="54">
        <v>1.25</v>
      </c>
      <c r="C5" s="36"/>
      <c r="E5">
        <f aca="true" t="shared" si="0" ref="E5:E17">IF(C5="Yes",B5,1)</f>
        <v>1</v>
      </c>
      <c r="Q5">
        <v>0.95</v>
      </c>
    </row>
    <row r="6" spans="1:17" ht="12.75">
      <c r="A6" s="49" t="s">
        <v>73</v>
      </c>
      <c r="B6" s="54">
        <v>1.4</v>
      </c>
      <c r="C6" s="36"/>
      <c r="E6">
        <f t="shared" si="0"/>
        <v>1</v>
      </c>
      <c r="Q6">
        <v>1</v>
      </c>
    </row>
    <row r="7" spans="1:17" ht="12.75">
      <c r="A7" s="49" t="s">
        <v>74</v>
      </c>
      <c r="B7" s="54">
        <v>0.8</v>
      </c>
      <c r="C7" s="36"/>
      <c r="E7">
        <f t="shared" si="0"/>
        <v>1</v>
      </c>
      <c r="Q7">
        <v>1.05</v>
      </c>
    </row>
    <row r="8" spans="1:17" ht="12.75">
      <c r="A8" s="49" t="s">
        <v>75</v>
      </c>
      <c r="B8" s="54">
        <v>2</v>
      </c>
      <c r="C8" s="36"/>
      <c r="E8">
        <f t="shared" si="0"/>
        <v>1</v>
      </c>
      <c r="Q8">
        <v>1.1</v>
      </c>
    </row>
    <row r="9" spans="1:5" ht="12.75">
      <c r="A9" s="49" t="s">
        <v>76</v>
      </c>
      <c r="B9" s="54">
        <v>1</v>
      </c>
      <c r="C9" s="36"/>
      <c r="E9">
        <f t="shared" si="0"/>
        <v>1</v>
      </c>
    </row>
    <row r="10" spans="1:5" ht="12.75">
      <c r="A10" s="49" t="s">
        <v>77</v>
      </c>
      <c r="B10" s="54">
        <v>0.9</v>
      </c>
      <c r="C10" s="36"/>
      <c r="E10">
        <f t="shared" si="0"/>
        <v>1</v>
      </c>
    </row>
    <row r="11" spans="1:5" ht="12.75">
      <c r="A11" s="49" t="s">
        <v>78</v>
      </c>
      <c r="B11" s="54">
        <v>0.75</v>
      </c>
      <c r="C11" s="36"/>
      <c r="E11">
        <f t="shared" si="0"/>
        <v>1</v>
      </c>
    </row>
    <row r="12" spans="1:5" ht="12.75">
      <c r="A12" s="49" t="s">
        <v>79</v>
      </c>
      <c r="B12" s="54">
        <v>1.1</v>
      </c>
      <c r="C12" s="36"/>
      <c r="E12">
        <f t="shared" si="0"/>
        <v>1</v>
      </c>
    </row>
    <row r="13" spans="1:5" ht="12.75">
      <c r="A13" s="49" t="s">
        <v>80</v>
      </c>
      <c r="B13" s="54">
        <v>0.9</v>
      </c>
      <c r="C13" s="36"/>
      <c r="E13">
        <f t="shared" si="0"/>
        <v>1</v>
      </c>
    </row>
    <row r="14" spans="1:5" ht="12.75">
      <c r="A14" s="49" t="s">
        <v>81</v>
      </c>
      <c r="B14" s="54">
        <v>1</v>
      </c>
      <c r="C14" s="36"/>
      <c r="E14">
        <f t="shared" si="0"/>
        <v>1</v>
      </c>
    </row>
    <row r="15" spans="1:5" ht="12.75">
      <c r="A15" s="49" t="s">
        <v>82</v>
      </c>
      <c r="B15" s="54">
        <v>0.7</v>
      </c>
      <c r="C15" s="36"/>
      <c r="E15">
        <f t="shared" si="0"/>
        <v>1</v>
      </c>
    </row>
    <row r="16" spans="1:5" ht="12.75">
      <c r="A16" s="49" t="s">
        <v>83</v>
      </c>
      <c r="B16" s="54">
        <v>1.6</v>
      </c>
      <c r="C16" s="36"/>
      <c r="E16">
        <f t="shared" si="0"/>
        <v>1</v>
      </c>
    </row>
    <row r="17" spans="1:5" ht="12.75">
      <c r="A17" s="49" t="s">
        <v>84</v>
      </c>
      <c r="B17" s="54">
        <v>1.25</v>
      </c>
      <c r="C17" s="36"/>
      <c r="E17">
        <f t="shared" si="0"/>
        <v>1</v>
      </c>
    </row>
    <row r="18" spans="1:5" ht="13.5" thickBot="1">
      <c r="A18" s="51" t="s">
        <v>85</v>
      </c>
      <c r="B18" s="55" t="s">
        <v>70</v>
      </c>
      <c r="C18" s="35"/>
      <c r="E18">
        <f>IF(OR(C18="No",C18=""),1,C18)</f>
        <v>1</v>
      </c>
    </row>
    <row r="19" spans="1:3" ht="23.25" customHeight="1" thickBot="1">
      <c r="A19" s="62" t="s">
        <v>88</v>
      </c>
      <c r="B19" s="60"/>
      <c r="C19" s="61">
        <f>PRODUCT(E4:E18)</f>
        <v>1</v>
      </c>
    </row>
    <row r="20" spans="1:3" ht="23.25" customHeight="1" thickBot="1">
      <c r="A20" s="63" t="s">
        <v>89</v>
      </c>
      <c r="B20" s="64" t="s">
        <v>0</v>
      </c>
      <c r="C20" s="65">
        <f>(C19*'Sum B Stage 1'!I88)</f>
        <v>0</v>
      </c>
    </row>
  </sheetData>
  <sheetProtection/>
  <mergeCells count="1">
    <mergeCell ref="A2:C2"/>
  </mergeCells>
  <dataValidations count="2">
    <dataValidation type="list" allowBlank="1" showInputMessage="1" showErrorMessage="1" sqref="C18">
      <formula1>$Q$3:$Q$8</formula1>
    </dataValidation>
    <dataValidation type="list" allowBlank="1" showInputMessage="1" showErrorMessage="1" sqref="C4:C17">
      <formula1>$Q$2:$Q$3</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V33"/>
  <sheetViews>
    <sheetView zoomScalePageLayoutView="0" workbookViewId="0" topLeftCell="A4">
      <selection activeCell="F20" sqref="F20"/>
    </sheetView>
  </sheetViews>
  <sheetFormatPr defaultColWidth="9.140625" defaultRowHeight="12.75"/>
  <cols>
    <col min="1" max="1" width="20.140625" style="0" customWidth="1"/>
    <col min="2" max="2" width="23.57421875" style="0" customWidth="1"/>
    <col min="3" max="3" width="12.7109375" style="0" customWidth="1"/>
    <col min="4" max="4" width="16.00390625" style="0" customWidth="1"/>
    <col min="5" max="5" width="12.00390625" style="0" customWidth="1"/>
    <col min="6" max="6" width="14.7109375" style="0" customWidth="1"/>
    <col min="12" max="12" width="15.140625" style="0" customWidth="1"/>
    <col min="13" max="13" width="18.57421875" style="0" customWidth="1"/>
    <col min="15" max="15" width="13.00390625" style="0" customWidth="1"/>
    <col min="16" max="16" width="14.7109375" style="0" customWidth="1"/>
    <col min="17" max="17" width="9.140625" style="0" customWidth="1"/>
    <col min="18" max="18" width="14.28125" style="0" customWidth="1"/>
    <col min="19" max="19" width="14.7109375" style="0" customWidth="1"/>
    <col min="21" max="21" width="12.421875" style="0" customWidth="1"/>
    <col min="22" max="22" width="15.140625" style="0" customWidth="1"/>
  </cols>
  <sheetData>
    <row r="1" ht="13.5" thickBot="1"/>
    <row r="2" spans="1:6" ht="26.25" customHeight="1" thickBot="1">
      <c r="A2" s="181" t="s">
        <v>90</v>
      </c>
      <c r="B2" s="182"/>
      <c r="C2" s="182"/>
      <c r="D2" s="182"/>
      <c r="E2" s="182"/>
      <c r="F2" s="183"/>
    </row>
    <row r="3" spans="1:22" ht="30.75" customHeight="1" thickBot="1">
      <c r="A3" s="188" t="s">
        <v>91</v>
      </c>
      <c r="B3" s="189"/>
      <c r="C3" s="189"/>
      <c r="D3" s="189"/>
      <c r="E3" s="189"/>
      <c r="F3" s="190"/>
      <c r="L3" s="179" t="s">
        <v>103</v>
      </c>
      <c r="M3" s="180"/>
      <c r="O3" s="179" t="s">
        <v>60</v>
      </c>
      <c r="P3" s="180"/>
      <c r="R3" s="179" t="s">
        <v>154</v>
      </c>
      <c r="S3" s="180"/>
      <c r="U3" s="179" t="s">
        <v>104</v>
      </c>
      <c r="V3" s="180"/>
    </row>
    <row r="4" spans="1:22" ht="40.5" thickBot="1">
      <c r="A4" s="13"/>
      <c r="B4" s="67" t="s">
        <v>92</v>
      </c>
      <c r="C4" s="14" t="s">
        <v>100</v>
      </c>
      <c r="D4" s="15" t="s">
        <v>93</v>
      </c>
      <c r="E4" s="15" t="s">
        <v>94</v>
      </c>
      <c r="F4" s="15" t="s">
        <v>101</v>
      </c>
      <c r="G4" s="1"/>
      <c r="L4" s="20" t="s">
        <v>61</v>
      </c>
      <c r="M4" s="21" t="s">
        <v>62</v>
      </c>
      <c r="O4" s="20" t="s">
        <v>61</v>
      </c>
      <c r="P4" s="21" t="s">
        <v>62</v>
      </c>
      <c r="R4" s="20" t="s">
        <v>61</v>
      </c>
      <c r="S4" s="21" t="s">
        <v>62</v>
      </c>
      <c r="U4" s="20" t="s">
        <v>61</v>
      </c>
      <c r="V4" s="21" t="s">
        <v>62</v>
      </c>
    </row>
    <row r="5" spans="1:22" ht="13.5" thickBot="1">
      <c r="A5" s="7" t="s">
        <v>95</v>
      </c>
      <c r="B5" s="75"/>
      <c r="C5" s="76"/>
      <c r="D5" s="77"/>
      <c r="E5" s="26">
        <f>IF(D5&lt;&gt;0,(VLOOKUP(D5,$L$5:$M$32,2)),1)</f>
        <v>1</v>
      </c>
      <c r="F5" s="16">
        <f>E5*C5</f>
        <v>0</v>
      </c>
      <c r="L5" s="83">
        <v>1</v>
      </c>
      <c r="M5" s="139">
        <f>IF('Sum A'!$B$5=60,P5,IF('Sum A'!$B$5=120,S5,V5))</f>
        <v>47.435845201666055</v>
      </c>
      <c r="O5" s="19">
        <v>1</v>
      </c>
      <c r="P5" s="136">
        <v>34.76088667704649</v>
      </c>
      <c r="R5" s="19">
        <v>1</v>
      </c>
      <c r="S5" s="139">
        <v>45.355388502603624</v>
      </c>
      <c r="U5" s="19">
        <v>1</v>
      </c>
      <c r="V5" s="139">
        <v>47.435845201666055</v>
      </c>
    </row>
    <row r="6" spans="1:22" ht="13.5" thickBot="1">
      <c r="A6" s="49" t="s">
        <v>96</v>
      </c>
      <c r="B6" s="78"/>
      <c r="C6" s="79"/>
      <c r="D6" s="80"/>
      <c r="E6" s="26">
        <f>IF(D6&lt;&gt;0,(VLOOKUP(D6,$L$5:$M$32,2)),1)</f>
        <v>1</v>
      </c>
      <c r="F6" s="68">
        <f>E6*C6</f>
        <v>0</v>
      </c>
      <c r="L6" s="17">
        <v>2</v>
      </c>
      <c r="M6" s="139">
        <f>IF('Sum A'!$B$5=60,P6,IF('Sum A'!$B$5=120,S6,V6))</f>
        <v>23.4830916839931</v>
      </c>
      <c r="O6" s="17">
        <v>2</v>
      </c>
      <c r="P6" s="137">
        <v>17.20835974111213</v>
      </c>
      <c r="R6" s="17">
        <v>2</v>
      </c>
      <c r="S6" s="137">
        <v>22.4531626250513</v>
      </c>
      <c r="U6" s="17">
        <v>2</v>
      </c>
      <c r="V6" s="137">
        <v>23.4830916839931</v>
      </c>
    </row>
    <row r="7" spans="1:22" ht="13.5" thickBot="1">
      <c r="A7" s="49" t="s">
        <v>97</v>
      </c>
      <c r="B7" s="78"/>
      <c r="C7" s="42"/>
      <c r="D7" s="80"/>
      <c r="E7" s="26">
        <f>IF(D7&lt;&gt;0,(VLOOKUP(D7,$L$5:$M$32,2)),1)</f>
        <v>1</v>
      </c>
      <c r="F7" s="68">
        <f>E7*C7</f>
        <v>0</v>
      </c>
      <c r="L7" s="17">
        <v>5</v>
      </c>
      <c r="M7" s="139">
        <f>IF('Sum A'!$B$5=60,P7,IF('Sum A'!$B$5=120,S7,V7))</f>
        <v>9.11519583693337</v>
      </c>
      <c r="O7" s="17">
        <v>5</v>
      </c>
      <c r="P7" s="137">
        <v>6.679596161503584</v>
      </c>
      <c r="R7" s="17">
        <v>5</v>
      </c>
      <c r="S7" s="137">
        <v>8.715418618637951</v>
      </c>
      <c r="U7" s="17">
        <v>5</v>
      </c>
      <c r="V7" s="137">
        <v>9.11519583693337</v>
      </c>
    </row>
    <row r="8" spans="1:22" ht="13.5" thickBot="1">
      <c r="A8" s="49" t="s">
        <v>98</v>
      </c>
      <c r="B8" s="78"/>
      <c r="C8" s="42"/>
      <c r="D8" s="80"/>
      <c r="E8" s="26">
        <f>IF(D8&lt;&gt;0,(VLOOKUP(D8,$L$5:$M$32,2)),1)</f>
        <v>1</v>
      </c>
      <c r="F8" s="68">
        <f>E8*C8</f>
        <v>0</v>
      </c>
      <c r="L8" s="17">
        <v>8</v>
      </c>
      <c r="M8" s="139">
        <f>IF('Sum A'!$B$5=60,P8,IF('Sum A'!$B$5=120,S8,V8))</f>
        <v>5.489049879344382</v>
      </c>
      <c r="O8" s="17">
        <v>8</v>
      </c>
      <c r="P8" s="137">
        <v>3.9036251271240983</v>
      </c>
      <c r="R8" s="17">
        <v>8</v>
      </c>
      <c r="S8" s="137">
        <v>5.284347204072117</v>
      </c>
      <c r="U8" s="17">
        <v>8</v>
      </c>
      <c r="V8" s="137">
        <v>5.489049879344382</v>
      </c>
    </row>
    <row r="9" spans="1:22" ht="13.5" thickBot="1">
      <c r="A9" s="51" t="s">
        <v>99</v>
      </c>
      <c r="B9" s="81"/>
      <c r="C9" s="44"/>
      <c r="D9" s="82"/>
      <c r="E9" s="26">
        <f>IF(D9&lt;&gt;0,(VLOOKUP(D9,$L$5:$M$32,2)),1)</f>
        <v>1</v>
      </c>
      <c r="F9" s="52">
        <f>E9*C9</f>
        <v>0</v>
      </c>
      <c r="L9" s="17">
        <v>10</v>
      </c>
      <c r="M9" s="139">
        <f>IF('Sum A'!$B$5=60,P9,IF('Sum A'!$B$5=120,S9,V9))</f>
        <v>4.332151038624794</v>
      </c>
      <c r="O9" s="17">
        <v>10</v>
      </c>
      <c r="P9" s="137">
        <v>3.1745910857343937</v>
      </c>
      <c r="R9" s="17">
        <v>10</v>
      </c>
      <c r="S9" s="137">
        <v>4.142150151925283</v>
      </c>
      <c r="U9" s="17">
        <v>10</v>
      </c>
      <c r="V9" s="137">
        <v>4.332151038624794</v>
      </c>
    </row>
    <row r="10" spans="1:22" ht="24" customHeight="1" thickBot="1">
      <c r="A10" s="57" t="s">
        <v>102</v>
      </c>
      <c r="B10" s="69"/>
      <c r="C10" s="85"/>
      <c r="D10" s="70"/>
      <c r="E10" s="71" t="s">
        <v>0</v>
      </c>
      <c r="F10" s="33">
        <f>SUM(F5:F9)</f>
        <v>0</v>
      </c>
      <c r="L10" s="17">
        <v>12</v>
      </c>
      <c r="M10" s="139">
        <f>IF('Sum A'!$B$5=60,P10,IF('Sum A'!$B$5=120,S10,V10))</f>
        <v>3.512677456231064</v>
      </c>
      <c r="O10" s="17">
        <v>12</v>
      </c>
      <c r="P10" s="137">
        <v>2.591757688896715</v>
      </c>
      <c r="R10" s="17">
        <v>12</v>
      </c>
      <c r="S10" s="137">
        <v>3.381679471431378</v>
      </c>
      <c r="U10" s="17">
        <v>12</v>
      </c>
      <c r="V10" s="137">
        <v>3.512677456231064</v>
      </c>
    </row>
    <row r="11" spans="1:22" ht="13.5" thickBot="1">
      <c r="A11" s="72"/>
      <c r="B11" s="73"/>
      <c r="D11" s="74"/>
      <c r="E11" s="74"/>
      <c r="F11" s="74"/>
      <c r="L11" s="17">
        <v>13</v>
      </c>
      <c r="M11" s="139">
        <f>IF('Sum A'!$B$5=60,P11,IF('Sum A'!$B$5=120,S11,V11))</f>
        <v>3.205281301773904</v>
      </c>
      <c r="O11" s="17">
        <v>13</v>
      </c>
      <c r="P11" s="137">
        <v>2.1896610350605448</v>
      </c>
      <c r="R11" s="17">
        <v>13</v>
      </c>
      <c r="S11" s="137">
        <v>3.070169161534903</v>
      </c>
      <c r="U11" s="17">
        <v>13</v>
      </c>
      <c r="V11" s="137">
        <v>3.205281301773904</v>
      </c>
    </row>
    <row r="12" spans="1:22" ht="42" customHeight="1" thickBot="1">
      <c r="A12" s="191" t="s">
        <v>115</v>
      </c>
      <c r="B12" s="184" t="s">
        <v>113</v>
      </c>
      <c r="C12" s="185"/>
      <c r="D12" s="185"/>
      <c r="E12" s="185"/>
      <c r="F12" s="86">
        <f>'Sum B Stage 2'!C20</f>
        <v>0</v>
      </c>
      <c r="L12" s="17">
        <v>15</v>
      </c>
      <c r="M12" s="139">
        <f>IF('Sum A'!$B$5=60,P12,IF('Sum A'!$B$5=120,S12,V12))</f>
        <v>2.743000150375817</v>
      </c>
      <c r="O12" s="17">
        <v>15</v>
      </c>
      <c r="P12" s="137">
        <v>2.0100646879374326</v>
      </c>
      <c r="R12" s="17">
        <v>15</v>
      </c>
      <c r="S12" s="137">
        <v>2.622696759256347</v>
      </c>
      <c r="U12" s="17">
        <v>15</v>
      </c>
      <c r="V12" s="137">
        <v>2.743000150375817</v>
      </c>
    </row>
    <row r="13" spans="1:22" ht="34.5" customHeight="1" thickBot="1">
      <c r="A13" s="192"/>
      <c r="B13" s="186" t="s">
        <v>114</v>
      </c>
      <c r="C13" s="187"/>
      <c r="D13" s="187"/>
      <c r="E13" s="187"/>
      <c r="F13" s="87">
        <f>F10</f>
        <v>0</v>
      </c>
      <c r="L13" s="17">
        <v>17</v>
      </c>
      <c r="M13" s="139">
        <f>IF('Sum A'!$B$5=60,P13,IF('Sum A'!$B$5=120,S13,V13))</f>
        <v>2.3294266891443676</v>
      </c>
      <c r="O13" s="17">
        <v>17</v>
      </c>
      <c r="P13" s="137">
        <v>1.5884337497845187</v>
      </c>
      <c r="R13" s="17">
        <v>17</v>
      </c>
      <c r="S13" s="137">
        <v>2.2617597331122195</v>
      </c>
      <c r="U13" s="17">
        <v>17</v>
      </c>
      <c r="V13" s="137">
        <v>2.3294266891443676</v>
      </c>
    </row>
    <row r="14" spans="1:22" ht="29.25" customHeight="1" thickBot="1">
      <c r="A14" s="193"/>
      <c r="B14" s="194" t="s">
        <v>112</v>
      </c>
      <c r="C14" s="195"/>
      <c r="D14" s="195"/>
      <c r="E14" s="195"/>
      <c r="F14" s="88">
        <f>F13+F12</f>
        <v>0</v>
      </c>
      <c r="L14" s="17">
        <v>20</v>
      </c>
      <c r="M14" s="139">
        <f>IF('Sum A'!$B$5=60,P14,IF('Sum A'!$B$5=120,S14,V14))</f>
        <v>1.929192747888131</v>
      </c>
      <c r="O14" s="17">
        <v>20</v>
      </c>
      <c r="P14" s="137">
        <v>1.4306440147523645</v>
      </c>
      <c r="R14" s="17">
        <v>20</v>
      </c>
      <c r="S14" s="137">
        <v>1.866678940064694</v>
      </c>
      <c r="U14" s="17">
        <v>20</v>
      </c>
      <c r="V14" s="137">
        <v>1.929192747888131</v>
      </c>
    </row>
    <row r="15" spans="1:22" ht="13.5" thickBot="1">
      <c r="A15" s="66"/>
      <c r="B15" s="50"/>
      <c r="L15" s="17">
        <v>23</v>
      </c>
      <c r="M15" s="139">
        <f>IF('Sum A'!$B$5=60,P15,IF('Sum A'!$B$5=120,S15,V15))</f>
        <v>1.6206653264690336</v>
      </c>
      <c r="O15" s="17">
        <v>23</v>
      </c>
      <c r="P15" s="137">
        <v>1.0363096456485346</v>
      </c>
      <c r="R15" s="17">
        <v>23</v>
      </c>
      <c r="S15" s="137">
        <v>1.5556259608095295</v>
      </c>
      <c r="U15" s="17">
        <v>23</v>
      </c>
      <c r="V15" s="137">
        <v>1.6206653264690336</v>
      </c>
    </row>
    <row r="16" spans="1:22" ht="30" customHeight="1" thickBot="1">
      <c r="A16" s="197" t="s">
        <v>116</v>
      </c>
      <c r="B16" s="198"/>
      <c r="C16" s="198"/>
      <c r="D16" s="198"/>
      <c r="E16" s="198"/>
      <c r="F16" s="199"/>
      <c r="L16" s="17">
        <v>28</v>
      </c>
      <c r="M16" s="139">
        <f>IF('Sum A'!$B$5=60,P16,IF('Sum A'!$B$5=120,S16,V16))</f>
        <v>1.2651222245721403</v>
      </c>
      <c r="O16" s="17">
        <v>28</v>
      </c>
      <c r="P16" s="137">
        <v>0.9042806799076875</v>
      </c>
      <c r="R16" s="17">
        <v>28</v>
      </c>
      <c r="S16" s="137">
        <v>1.2026084167487032</v>
      </c>
      <c r="U16" s="17">
        <v>28</v>
      </c>
      <c r="V16" s="137">
        <v>1.2651222245721403</v>
      </c>
    </row>
    <row r="17" spans="1:22" ht="21.75" customHeight="1" thickBot="1">
      <c r="A17" s="200" t="s">
        <v>117</v>
      </c>
      <c r="B17" s="201"/>
      <c r="C17" s="201"/>
      <c r="D17" s="201"/>
      <c r="E17" s="201"/>
      <c r="F17" s="202"/>
      <c r="L17" s="17">
        <v>30</v>
      </c>
      <c r="M17" s="139">
        <f>IF('Sum A'!$B$5=60,P17,IF('Sum A'!$B$5=120,S17,V17))</f>
        <v>1.1692898981429602</v>
      </c>
      <c r="O17" s="17">
        <v>30</v>
      </c>
      <c r="P17" s="137">
        <v>0.8568531554389822</v>
      </c>
      <c r="R17" s="17">
        <v>30</v>
      </c>
      <c r="S17" s="137">
        <v>1.1180068021762815</v>
      </c>
      <c r="U17" s="17">
        <v>30</v>
      </c>
      <c r="V17" s="137">
        <v>1.1692898981429602</v>
      </c>
    </row>
    <row r="18" spans="1:22" ht="38.25" customHeight="1" thickBot="1">
      <c r="A18" s="203" t="s">
        <v>118</v>
      </c>
      <c r="B18" s="196" t="s">
        <v>119</v>
      </c>
      <c r="C18" s="196"/>
      <c r="D18" s="196" t="s">
        <v>123</v>
      </c>
      <c r="E18" s="196"/>
      <c r="F18" s="89">
        <f>0.125*F14</f>
        <v>0</v>
      </c>
      <c r="L18" s="17">
        <v>32</v>
      </c>
      <c r="M18" s="139">
        <f>IF('Sum A'!$B$5=60,P18,IF('Sum A'!$B$5=120,S18,V18))</f>
        <v>1.0408989529739987</v>
      </c>
      <c r="O18" s="17">
        <v>32</v>
      </c>
      <c r="P18" s="137">
        <v>0.5306333035177931</v>
      </c>
      <c r="R18" s="17">
        <v>32</v>
      </c>
      <c r="S18" s="137">
        <v>0.9616163291550646</v>
      </c>
      <c r="U18" s="17">
        <v>32</v>
      </c>
      <c r="V18" s="137">
        <v>1.0408989529739987</v>
      </c>
    </row>
    <row r="19" spans="1:22" ht="33.75" customHeight="1" thickBot="1">
      <c r="A19" s="204"/>
      <c r="B19" s="189" t="s">
        <v>120</v>
      </c>
      <c r="C19" s="189"/>
      <c r="D19" s="189" t="s">
        <v>122</v>
      </c>
      <c r="E19" s="189"/>
      <c r="F19" s="88">
        <f>0.1*F14</f>
        <v>0</v>
      </c>
      <c r="L19" s="17">
        <v>35</v>
      </c>
      <c r="M19" s="139">
        <f>IF('Sum A'!$B$5=60,P19,IF('Sum A'!$B$5=120,S19,V19))</f>
        <v>0.9375897464677699</v>
      </c>
      <c r="O19" s="17">
        <v>35</v>
      </c>
      <c r="P19" s="137">
        <v>0.5000276133592974</v>
      </c>
      <c r="R19" s="17">
        <v>35</v>
      </c>
      <c r="S19" s="137">
        <v>0.8750759386443328</v>
      </c>
      <c r="U19" s="17">
        <v>35</v>
      </c>
      <c r="V19" s="137">
        <v>0.9375897464677699</v>
      </c>
    </row>
    <row r="20" spans="1:22" ht="30" customHeight="1" thickBot="1">
      <c r="A20" s="205"/>
      <c r="B20" s="189" t="s">
        <v>121</v>
      </c>
      <c r="C20" s="189"/>
      <c r="D20" s="189"/>
      <c r="E20" s="189"/>
      <c r="F20" s="88">
        <f>F19+F18</f>
        <v>0</v>
      </c>
      <c r="L20" s="17">
        <v>37</v>
      </c>
      <c r="M20" s="139">
        <f>IF('Sum A'!$B$5=60,P20,IF('Sum A'!$B$5=120,S20,V20))</f>
        <v>0.875967546141893</v>
      </c>
      <c r="O20" s="17">
        <v>37</v>
      </c>
      <c r="P20" s="137">
        <v>0.4806109317178944</v>
      </c>
      <c r="R20" s="17">
        <v>37</v>
      </c>
      <c r="S20" s="137">
        <v>0.8226126130981603</v>
      </c>
      <c r="U20" s="17">
        <v>37</v>
      </c>
      <c r="V20" s="137">
        <v>0.875967546141893</v>
      </c>
    </row>
    <row r="21" spans="12:22" ht="13.5" thickBot="1">
      <c r="L21" s="17">
        <v>38</v>
      </c>
      <c r="M21" s="139">
        <f>IF('Sum A'!$B$5=60,P21,IF('Sum A'!$B$5=120,S21,V21))</f>
        <v>0.7978162924641521</v>
      </c>
      <c r="O21" s="17">
        <v>38</v>
      </c>
      <c r="P21" s="137">
        <v>0.4711871879587199</v>
      </c>
      <c r="R21" s="17">
        <v>38</v>
      </c>
      <c r="S21" s="137">
        <v>0.7978162924641521</v>
      </c>
      <c r="U21" s="17">
        <v>38</v>
      </c>
      <c r="V21" s="137">
        <v>0.7978162924641521</v>
      </c>
    </row>
    <row r="22" spans="1:22" ht="27" thickBot="1">
      <c r="A22" s="181" t="s">
        <v>124</v>
      </c>
      <c r="B22" s="182"/>
      <c r="C22" s="182"/>
      <c r="D22" s="182"/>
      <c r="E22" s="182"/>
      <c r="F22" s="183"/>
      <c r="L22" s="17">
        <v>44</v>
      </c>
      <c r="M22" s="139">
        <f>IF('Sum A'!$B$5=60,P22,IF('Sum A'!$B$5=120,S22,V22))</f>
        <v>0.6667048059662947</v>
      </c>
      <c r="O22" s="17">
        <v>44</v>
      </c>
      <c r="P22" s="137">
        <v>0.41840073856012966</v>
      </c>
      <c r="R22" s="17">
        <v>44</v>
      </c>
      <c r="S22" s="137">
        <v>0.5934599165877916</v>
      </c>
      <c r="U22" s="17">
        <v>44</v>
      </c>
      <c r="V22" s="137">
        <v>0.6667048059662947</v>
      </c>
    </row>
    <row r="23" spans="1:22" ht="13.5" thickBot="1">
      <c r="A23" s="188" t="s">
        <v>125</v>
      </c>
      <c r="B23" s="189"/>
      <c r="C23" s="189"/>
      <c r="D23" s="189"/>
      <c r="E23" s="189"/>
      <c r="F23" s="190"/>
      <c r="L23" s="17">
        <v>45</v>
      </c>
      <c r="M23" s="139">
        <f>IF('Sum A'!$B$5=60,P23,IF('Sum A'!$B$5=120,S23,V23))</f>
        <v>0.6474785144520934</v>
      </c>
      <c r="O23" s="17">
        <v>45</v>
      </c>
      <c r="P23" s="137">
        <v>0.41019680250993107</v>
      </c>
      <c r="R23" s="17">
        <v>45</v>
      </c>
      <c r="S23" s="137">
        <v>0.5784582192993024</v>
      </c>
      <c r="U23" s="17">
        <v>45</v>
      </c>
      <c r="V23" s="137">
        <v>0.6474785144520934</v>
      </c>
    </row>
    <row r="24" spans="1:22" ht="40.5" thickBot="1">
      <c r="A24" s="13"/>
      <c r="B24" s="67" t="s">
        <v>126</v>
      </c>
      <c r="C24" s="14" t="s">
        <v>127</v>
      </c>
      <c r="D24" s="15" t="s">
        <v>93</v>
      </c>
      <c r="E24" s="15" t="s">
        <v>94</v>
      </c>
      <c r="F24" s="15" t="s">
        <v>101</v>
      </c>
      <c r="L24" s="17">
        <v>47</v>
      </c>
      <c r="M24" s="139">
        <f>IF('Sum A'!$B$5=60,P24,IF('Sum A'!$B$5=120,S24,V24))</f>
        <v>0.6110039478995135</v>
      </c>
      <c r="O24" s="17">
        <v>47</v>
      </c>
      <c r="P24" s="137">
        <v>0.3942683607361891</v>
      </c>
      <c r="R24" s="17">
        <v>47</v>
      </c>
      <c r="S24" s="137">
        <v>0.5497159010137908</v>
      </c>
      <c r="U24" s="17">
        <v>47</v>
      </c>
      <c r="V24" s="137">
        <v>0.6110039478995135</v>
      </c>
    </row>
    <row r="25" spans="1:22" ht="13.5" thickBot="1">
      <c r="A25" s="7" t="s">
        <v>95</v>
      </c>
      <c r="B25" s="75"/>
      <c r="C25" s="43"/>
      <c r="D25" s="77"/>
      <c r="E25" s="26">
        <f>IF(D25&lt;&gt;0,(VLOOKUP(D25,$L$5:$M$32,2)),1)</f>
        <v>1</v>
      </c>
      <c r="F25" s="16">
        <f>E25*C25</f>
        <v>0</v>
      </c>
      <c r="L25" s="17">
        <v>50</v>
      </c>
      <c r="M25" s="139">
        <f>IF('Sum A'!$B$5=60,P25,IF('Sum A'!$B$5=120,S25,V25))</f>
        <v>0.5608439452913866</v>
      </c>
      <c r="O25" s="17">
        <v>50</v>
      </c>
      <c r="P25" s="137">
        <v>0.3715278821269619</v>
      </c>
      <c r="R25" s="17">
        <v>50</v>
      </c>
      <c r="S25" s="137">
        <v>0.5095608493247077</v>
      </c>
      <c r="U25" s="17">
        <v>50</v>
      </c>
      <c r="V25" s="137">
        <v>0.5608439452913866</v>
      </c>
    </row>
    <row r="26" spans="1:22" ht="13.5" thickBot="1">
      <c r="A26" s="49" t="s">
        <v>96</v>
      </c>
      <c r="B26" s="78"/>
      <c r="C26" s="42"/>
      <c r="D26" s="80"/>
      <c r="E26" s="26">
        <f>IF(D26&lt;&gt;0,(VLOOKUP(D26,$L$5:$M$32,2)),1)</f>
        <v>1</v>
      </c>
      <c r="F26" s="68">
        <f>E26*C26</f>
        <v>0</v>
      </c>
      <c r="L26" s="17">
        <v>55</v>
      </c>
      <c r="M26" s="139">
        <f>IF('Sum A'!$B$5=60,P26,IF('Sum A'!$B$5=120,S26,V26))</f>
        <v>0.44973935952064065</v>
      </c>
      <c r="O26" s="17">
        <v>55</v>
      </c>
      <c r="P26" s="137">
        <v>0.33650424955324687</v>
      </c>
      <c r="R26" s="17">
        <v>55</v>
      </c>
      <c r="S26" s="137">
        <v>0.44973935952064065</v>
      </c>
      <c r="U26" s="17">
        <v>55</v>
      </c>
      <c r="V26" s="137">
        <v>0.44973935952064065</v>
      </c>
    </row>
    <row r="27" spans="1:22" ht="13.5" thickBot="1">
      <c r="A27" s="49" t="s">
        <v>97</v>
      </c>
      <c r="B27" s="78"/>
      <c r="C27" s="90"/>
      <c r="D27" s="80"/>
      <c r="E27" s="26">
        <f>IF(D27&lt;&gt;0,(VLOOKUP(D27,$L$5:$M$32,2)),1)</f>
        <v>1</v>
      </c>
      <c r="F27" s="68">
        <f>E27*C27</f>
        <v>0</v>
      </c>
      <c r="L27" s="18">
        <v>57</v>
      </c>
      <c r="M27" s="139">
        <f>IF('Sum A'!$B$5=60,P27,IF('Sum A'!$B$5=120,S27,V27))</f>
        <v>0.4280491178334832</v>
      </c>
      <c r="O27" s="18">
        <v>57</v>
      </c>
      <c r="P27" s="138">
        <v>0.32343737942449713</v>
      </c>
      <c r="R27" s="17">
        <v>57</v>
      </c>
      <c r="S27" s="137">
        <v>0.4280491178334832</v>
      </c>
      <c r="U27" s="17">
        <v>57</v>
      </c>
      <c r="V27" s="137">
        <v>0.4280491178334832</v>
      </c>
    </row>
    <row r="28" spans="1:22" ht="13.5" thickBot="1">
      <c r="A28" s="49" t="s">
        <v>98</v>
      </c>
      <c r="B28" s="78"/>
      <c r="C28" s="90"/>
      <c r="D28" s="80"/>
      <c r="E28" s="26">
        <f>IF(D28&lt;&gt;0,(VLOOKUP(D28,$L$5:$M$32,2)),1)</f>
        <v>1</v>
      </c>
      <c r="F28" s="68">
        <f>E28*C28</f>
        <v>0</v>
      </c>
      <c r="L28" s="17">
        <v>75</v>
      </c>
      <c r="M28" s="139">
        <f>IF('Sum A'!$B$5=60,P28,IF('Sum A'!$B$5=120,S28,V28))</f>
        <v>0.27774080938505397</v>
      </c>
      <c r="R28" s="17">
        <v>75</v>
      </c>
      <c r="S28" s="137">
        <v>0.2264577134183751</v>
      </c>
      <c r="U28" s="17">
        <v>75</v>
      </c>
      <c r="V28" s="137">
        <v>0.27774080938505397</v>
      </c>
    </row>
    <row r="29" spans="1:22" ht="13.5" thickBot="1">
      <c r="A29" s="51" t="s">
        <v>99</v>
      </c>
      <c r="B29" s="81"/>
      <c r="C29" s="91"/>
      <c r="D29" s="82"/>
      <c r="E29" s="26">
        <f>IF(D29&lt;&gt;0,(VLOOKUP(D29,$L$5:$M$32,2)),1)</f>
        <v>1</v>
      </c>
      <c r="F29" s="52">
        <f>E29*C29</f>
        <v>0</v>
      </c>
      <c r="L29" s="17">
        <v>85</v>
      </c>
      <c r="M29" s="139">
        <f>IF('Sum A'!$B$5=60,P29,IF('Sum A'!$B$5=120,S29,V29))</f>
        <v>0.1857742001963791</v>
      </c>
      <c r="R29" s="17">
        <v>85</v>
      </c>
      <c r="S29" s="137">
        <v>0.1857742001963791</v>
      </c>
      <c r="U29" s="17">
        <v>85</v>
      </c>
      <c r="V29" s="137">
        <v>0.1857742001963791</v>
      </c>
    </row>
    <row r="30" spans="1:22" ht="15" thickBot="1">
      <c r="A30" s="57" t="s">
        <v>128</v>
      </c>
      <c r="B30" s="69"/>
      <c r="C30" s="85"/>
      <c r="D30" s="70"/>
      <c r="E30" s="71" t="s">
        <v>0</v>
      </c>
      <c r="F30" s="33">
        <f>SUM(F25:F29)</f>
        <v>0</v>
      </c>
      <c r="L30" s="17">
        <v>90</v>
      </c>
      <c r="M30" s="139">
        <f>IF('Sum A'!$B$5=60,P30,IF('Sum A'!$B$5=120,S30,V30))</f>
        <v>0.16826141678937137</v>
      </c>
      <c r="R30" s="17">
        <v>90</v>
      </c>
      <c r="S30" s="137">
        <v>0.16826141678937137</v>
      </c>
      <c r="U30" s="17">
        <v>90</v>
      </c>
      <c r="V30" s="137">
        <v>0.16826141678937137</v>
      </c>
    </row>
    <row r="31" spans="12:22" ht="13.5" thickBot="1">
      <c r="L31" s="17">
        <v>110</v>
      </c>
      <c r="M31" s="139">
        <f>IF('Sum A'!$B$5=60,P31,IF('Sum A'!$B$5=120,S31,V31))</f>
        <v>0.11323510996739378</v>
      </c>
      <c r="R31" s="18">
        <v>110</v>
      </c>
      <c r="S31" s="138">
        <v>0.11323510996739378</v>
      </c>
      <c r="U31" s="17">
        <v>110</v>
      </c>
      <c r="V31" s="137">
        <v>0.11323510996739378</v>
      </c>
    </row>
    <row r="32" spans="12:22" ht="13.5" thickBot="1">
      <c r="L32" s="18">
        <v>130</v>
      </c>
      <c r="M32" s="139">
        <f>IF('Sum A'!$B$5=60,P32,IF('Sum A'!$B$5=120,S32,V32))</f>
        <v>0.07620398290939451</v>
      </c>
      <c r="U32" s="18">
        <v>130</v>
      </c>
      <c r="V32" s="138">
        <v>0.07620398290939451</v>
      </c>
    </row>
    <row r="33" spans="12:13" ht="16.5" thickBot="1">
      <c r="L33" s="177" t="str">
        <f>"Based on "&amp;'Sum A'!B5&amp;" year timescale"</f>
        <v>Based on 150 year timescale</v>
      </c>
      <c r="M33" s="178"/>
    </row>
  </sheetData>
  <sheetProtection/>
  <mergeCells count="21">
    <mergeCell ref="A3:F3"/>
    <mergeCell ref="A2:F2"/>
    <mergeCell ref="L3:M3"/>
    <mergeCell ref="O3:P3"/>
    <mergeCell ref="B19:C19"/>
    <mergeCell ref="B20:E20"/>
    <mergeCell ref="D18:E18"/>
    <mergeCell ref="D19:E19"/>
    <mergeCell ref="A16:F16"/>
    <mergeCell ref="A17:F17"/>
    <mergeCell ref="A18:A20"/>
    <mergeCell ref="R3:S3"/>
    <mergeCell ref="U3:V3"/>
    <mergeCell ref="L33:M33"/>
    <mergeCell ref="B12:E12"/>
    <mergeCell ref="B13:E13"/>
    <mergeCell ref="A22:F22"/>
    <mergeCell ref="A23:F23"/>
    <mergeCell ref="A12:A14"/>
    <mergeCell ref="B14:E14"/>
    <mergeCell ref="B18:C18"/>
  </mergeCells>
  <dataValidations count="3">
    <dataValidation type="list" allowBlank="1" showInputMessage="1" showErrorMessage="1" sqref="C7:C9">
      <formula1>$Q$2:$Q$3</formula1>
    </dataValidation>
    <dataValidation type="list" allowBlank="1" showInputMessage="1" showErrorMessage="1" sqref="D5:D9">
      <formula1>$L$5:$L$32</formula1>
    </dataValidation>
    <dataValidation type="list" allowBlank="1" showInputMessage="1" showErrorMessage="1" sqref="D25:D29">
      <formula1>$L$5:$L$32</formula1>
    </dataValidation>
  </dataValidations>
  <printOptions/>
  <pageMargins left="0.7086614173228347" right="0.7086614173228347" top="0.7480314960629921" bottom="0.7480314960629921" header="0.31496062992125984" footer="0.31496062992125984"/>
  <pageSetup fitToWidth="0" fitToHeight="1" horizontalDpi="600" verticalDpi="600" orientation="portrait" paperSize="8" r:id="rId1"/>
  <headerFooter>
    <oddFooter>&amp;C&amp;A</oddFooter>
  </headerFooter>
</worksheet>
</file>

<file path=xl/worksheets/sheet6.xml><?xml version="1.0" encoding="utf-8"?>
<worksheet xmlns="http://schemas.openxmlformats.org/spreadsheetml/2006/main" xmlns:r="http://schemas.openxmlformats.org/officeDocument/2006/relationships">
  <dimension ref="A2:F7"/>
  <sheetViews>
    <sheetView zoomScalePageLayoutView="0" workbookViewId="0" topLeftCell="F1">
      <selection activeCell="G18" sqref="G18"/>
    </sheetView>
  </sheetViews>
  <sheetFormatPr defaultColWidth="9.140625" defaultRowHeight="12.75"/>
  <cols>
    <col min="1" max="1" width="20.140625" style="0" customWidth="1"/>
    <col min="2" max="2" width="23.57421875" style="0" customWidth="1"/>
    <col min="3" max="3" width="12.7109375" style="0" customWidth="1"/>
    <col min="4" max="4" width="16.00390625" style="0" customWidth="1"/>
    <col min="5" max="5" width="12.00390625" style="0" customWidth="1"/>
    <col min="6" max="6" width="14.7109375" style="0" customWidth="1"/>
    <col min="12" max="12" width="15.140625" style="0" customWidth="1"/>
    <col min="13" max="13" width="18.57421875" style="0" customWidth="1"/>
    <col min="15" max="15" width="11.7109375" style="0" customWidth="1"/>
    <col min="16" max="16" width="13.8515625" style="0" customWidth="1"/>
    <col min="17" max="17" width="9.140625" style="0" customWidth="1"/>
    <col min="18" max="18" width="14.28125" style="0" customWidth="1"/>
    <col min="19" max="19" width="14.7109375" style="0" customWidth="1"/>
  </cols>
  <sheetData>
    <row r="1" ht="13.5" thickBot="1"/>
    <row r="2" spans="1:6" ht="26.25" customHeight="1" thickBot="1">
      <c r="A2" s="197" t="s">
        <v>129</v>
      </c>
      <c r="B2" s="198"/>
      <c r="C2" s="198"/>
      <c r="D2" s="198"/>
      <c r="E2" s="198"/>
      <c r="F2" s="199"/>
    </row>
    <row r="3" spans="1:6" ht="30.75" customHeight="1" thickBot="1">
      <c r="A3" s="200" t="s">
        <v>130</v>
      </c>
      <c r="B3" s="201"/>
      <c r="C3" s="201"/>
      <c r="D3" s="201"/>
      <c r="E3" s="201"/>
      <c r="F3" s="202"/>
    </row>
    <row r="4" spans="1:6" ht="25.5" customHeight="1" thickBot="1">
      <c r="A4" s="203" t="s">
        <v>115</v>
      </c>
      <c r="B4" s="196" t="s">
        <v>131</v>
      </c>
      <c r="C4" s="196"/>
      <c r="D4" s="196"/>
      <c r="E4" s="206"/>
      <c r="F4" s="89">
        <f>'Sum B Stage 3'!F14</f>
        <v>0</v>
      </c>
    </row>
    <row r="5" spans="1:6" ht="26.25" customHeight="1" thickBot="1">
      <c r="A5" s="204"/>
      <c r="B5" s="196" t="s">
        <v>132</v>
      </c>
      <c r="C5" s="196"/>
      <c r="D5" s="196"/>
      <c r="E5" s="206"/>
      <c r="F5" s="88">
        <f>'Sum B Stage 3'!F20</f>
        <v>0</v>
      </c>
    </row>
    <row r="6" spans="1:6" ht="28.5" customHeight="1" thickBot="1">
      <c r="A6" s="204"/>
      <c r="B6" s="189" t="s">
        <v>133</v>
      </c>
      <c r="C6" s="189"/>
      <c r="D6" s="189"/>
      <c r="E6" s="189"/>
      <c r="F6" s="88">
        <f>'Sum B Stage 3'!F30</f>
        <v>0</v>
      </c>
    </row>
    <row r="7" spans="1:6" ht="23.25" customHeight="1" thickBot="1">
      <c r="A7" s="205"/>
      <c r="B7" s="201" t="s">
        <v>134</v>
      </c>
      <c r="C7" s="201"/>
      <c r="D7" s="201"/>
      <c r="E7" s="202"/>
      <c r="F7" s="89">
        <f>SUM(F4:F6)</f>
        <v>0</v>
      </c>
    </row>
    <row r="10" ht="24" customHeight="1"/>
    <row r="12" ht="42" customHeight="1"/>
    <row r="13" ht="34.5" customHeight="1"/>
    <row r="14" ht="29.25" customHeight="1"/>
    <row r="16" ht="30" customHeight="1"/>
    <row r="17" ht="21.75" customHeight="1"/>
    <row r="18" ht="38.25" customHeight="1"/>
    <row r="19" ht="33.75" customHeight="1"/>
    <row r="20" ht="30" customHeight="1"/>
  </sheetData>
  <sheetProtection/>
  <mergeCells count="7">
    <mergeCell ref="A4:A7"/>
    <mergeCell ref="B7:E7"/>
    <mergeCell ref="B6:E6"/>
    <mergeCell ref="B4:E4"/>
    <mergeCell ref="A2:F2"/>
    <mergeCell ref="A3:F3"/>
    <mergeCell ref="B5:E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B6"/>
  <sheetViews>
    <sheetView zoomScalePageLayoutView="0" workbookViewId="0" topLeftCell="A1">
      <selection activeCell="B5" sqref="B5"/>
    </sheetView>
  </sheetViews>
  <sheetFormatPr defaultColWidth="9.140625" defaultRowHeight="12.75"/>
  <cols>
    <col min="1" max="1" width="47.8515625" style="0" customWidth="1"/>
    <col min="2" max="2" width="12.57421875" style="0" customWidth="1"/>
  </cols>
  <sheetData>
    <row r="1" ht="13.5" thickBot="1"/>
    <row r="2" spans="1:2" ht="27" thickBot="1">
      <c r="A2" s="179" t="s">
        <v>135</v>
      </c>
      <c r="B2" s="180"/>
    </row>
    <row r="3" spans="1:2" ht="21.75" customHeight="1" thickBot="1">
      <c r="A3" s="95" t="s">
        <v>153</v>
      </c>
      <c r="B3" s="93"/>
    </row>
    <row r="4" spans="1:2" ht="20.25" customHeight="1" thickBot="1">
      <c r="A4" s="95" t="s">
        <v>136</v>
      </c>
      <c r="B4" s="93"/>
    </row>
    <row r="5" spans="1:2" ht="20.25" customHeight="1" thickBot="1">
      <c r="A5" s="95" t="s">
        <v>137</v>
      </c>
      <c r="B5" s="94">
        <f>B3/((1+('Sum A'!B6:D6/100))^'Sum C'!B4:B4)</f>
        <v>0</v>
      </c>
    </row>
    <row r="6" spans="1:2" ht="22.5" customHeight="1" thickBot="1">
      <c r="A6" s="84" t="s">
        <v>138</v>
      </c>
      <c r="B6" s="92">
        <f>B5</f>
        <v>0</v>
      </c>
    </row>
  </sheetData>
  <sheetProtection/>
  <mergeCells count="1">
    <mergeCell ref="A2:B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0"/>
  <sheetViews>
    <sheetView zoomScalePageLayoutView="0" workbookViewId="0" topLeftCell="A1">
      <selection activeCell="C6" sqref="C6"/>
    </sheetView>
  </sheetViews>
  <sheetFormatPr defaultColWidth="9.140625" defaultRowHeight="12.75"/>
  <cols>
    <col min="1" max="1" width="35.57421875" style="0" customWidth="1"/>
    <col min="2" max="3" width="19.57421875" style="0" customWidth="1"/>
  </cols>
  <sheetData>
    <row r="1" spans="1:3" s="135" customFormat="1" ht="26.25">
      <c r="A1" s="135" t="s">
        <v>149</v>
      </c>
      <c r="B1" s="207">
        <f>'Sum A'!B1:D1</f>
        <v>0</v>
      </c>
      <c r="C1" s="207"/>
    </row>
    <row r="2" ht="13.5" thickBot="1"/>
    <row r="3" spans="1:3" ht="27" thickBot="1">
      <c r="A3" s="197" t="s">
        <v>139</v>
      </c>
      <c r="B3" s="198"/>
      <c r="C3" s="199"/>
    </row>
    <row r="4" spans="1:3" ht="20.25">
      <c r="A4" s="102" t="s">
        <v>140</v>
      </c>
      <c r="B4" s="96" t="s">
        <v>0</v>
      </c>
      <c r="C4" s="97">
        <f>'Sum A'!C12</f>
        <v>0</v>
      </c>
    </row>
    <row r="5" spans="1:3" ht="20.25">
      <c r="A5" s="103" t="s">
        <v>141</v>
      </c>
      <c r="B5" s="98" t="s">
        <v>0</v>
      </c>
      <c r="C5" s="99">
        <f>'Sum B Stage 4'!F7</f>
        <v>0</v>
      </c>
    </row>
    <row r="6" spans="1:3" ht="21" thickBot="1">
      <c r="A6" s="104" t="s">
        <v>142</v>
      </c>
      <c r="B6" s="100" t="s">
        <v>0</v>
      </c>
      <c r="C6" s="101">
        <f>'Sum C'!B6</f>
        <v>0</v>
      </c>
    </row>
    <row r="7" spans="1:3" ht="21" thickBot="1">
      <c r="A7" s="105" t="s">
        <v>143</v>
      </c>
      <c r="B7" s="106" t="s">
        <v>0</v>
      </c>
      <c r="C7" s="107">
        <f>SUM(C4:C6)</f>
        <v>0</v>
      </c>
    </row>
    <row r="8" spans="1:3" ht="15" thickBot="1">
      <c r="A8" s="108" t="s">
        <v>144</v>
      </c>
      <c r="B8" s="208"/>
      <c r="C8" s="209"/>
    </row>
    <row r="9" spans="1:3" ht="15" thickBot="1">
      <c r="A9" s="108" t="s">
        <v>145</v>
      </c>
      <c r="B9" s="208"/>
      <c r="C9" s="209"/>
    </row>
    <row r="10" spans="1:3" ht="15" thickBot="1">
      <c r="A10" s="109" t="s">
        <v>146</v>
      </c>
      <c r="B10" s="210"/>
      <c r="C10" s="211"/>
    </row>
  </sheetData>
  <sheetProtection password="8FA1" sheet="1" objects="1" scenarios="1"/>
  <mergeCells count="5">
    <mergeCell ref="B1:C1"/>
    <mergeCell ref="A3:C3"/>
    <mergeCell ref="B8:C8"/>
    <mergeCell ref="B9:C9"/>
    <mergeCell ref="B10:C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D27" sqref="D27"/>
    </sheetView>
  </sheetViews>
  <sheetFormatPr defaultColWidth="9.140625" defaultRowHeight="12.75"/>
  <sheetData>
    <row r="1" ht="12.75">
      <c r="A1">
        <v>60</v>
      </c>
    </row>
    <row r="2" ht="12.75">
      <c r="A2">
        <v>120</v>
      </c>
    </row>
    <row r="3" ht="12.75">
      <c r="A3">
        <v>150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Atkins Global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mund2131</dc:creator>
  <cp:keywords/>
  <dc:description/>
  <cp:lastModifiedBy>KIRKHAM, Liz</cp:lastModifiedBy>
  <cp:lastPrinted>2017-08-15T10:58:33Z</cp:lastPrinted>
  <dcterms:created xsi:type="dcterms:W3CDTF">2013-01-31T08:37:19Z</dcterms:created>
  <dcterms:modified xsi:type="dcterms:W3CDTF">2018-05-29T11:22:44Z</dcterms:modified>
  <cp:category/>
  <cp:version/>
  <cp:contentType/>
  <cp:contentStatus/>
</cp:coreProperties>
</file>